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15" windowWidth="14355" windowHeight="7560" activeTab="0"/>
  </bookViews>
  <sheets>
    <sheet name="Terminal" sheetId="1" r:id="rId1"/>
    <sheet name="calculator" sheetId="2" r:id="rId2"/>
    <sheet name="database" sheetId="3" r:id="rId3"/>
    <sheet name="calculator_ntb" sheetId="4" r:id="rId4"/>
    <sheet name="database_ntb" sheetId="5" r:id="rId5"/>
    <sheet name="calculator_eurham" sheetId="6" r:id="rId6"/>
    <sheet name="database_eurham" sheetId="7" r:id="rId7"/>
    <sheet name="calculator_eurbrv" sheetId="8" r:id="rId8"/>
    <sheet name="database_eurbrv" sheetId="9" r:id="rId9"/>
    <sheet name="calculator_eurwhs" sheetId="10" r:id="rId10"/>
    <sheet name="database_eurwhs" sheetId="11" r:id="rId11"/>
    <sheet name="calculator_gdansk" sheetId="12" r:id="rId12"/>
    <sheet name="database_gdansk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<sst xmlns="http://schemas.openxmlformats.org/spreadsheetml/2006/main" count="2091" uniqueCount="197">
  <si>
    <t>20' standard: day 1 to 7</t>
  </si>
  <si>
    <t>per day</t>
  </si>
  <si>
    <t>EUR</t>
  </si>
  <si>
    <t>free</t>
  </si>
  <si>
    <t>20' standard: day 8 to 12</t>
  </si>
  <si>
    <t>20' standard: from day 13</t>
  </si>
  <si>
    <t>40' standard: day 1 to 7</t>
  </si>
  <si>
    <t>40' standard: day 8 to 12</t>
  </si>
  <si>
    <t>40' standard: from day 13</t>
  </si>
  <si>
    <t>20' reefer: day 1 to 3</t>
  </si>
  <si>
    <t>20' reefer: day 4 to 10</t>
  </si>
  <si>
    <t>20' reefer: from day 11</t>
  </si>
  <si>
    <t>40' reefer: day 1 to 3</t>
  </si>
  <si>
    <t>40' reefer: day 4 to 10</t>
  </si>
  <si>
    <t>40' reefer: from day 11</t>
  </si>
  <si>
    <t>20' special: day 1 to 7</t>
  </si>
  <si>
    <t>20' special: day 8 to 12</t>
  </si>
  <si>
    <t>20' special: from day 13</t>
  </si>
  <si>
    <t>40' special: day 1 to 7</t>
  </si>
  <si>
    <t>40' special: day 8 to 12</t>
  </si>
  <si>
    <t>40' special: from day 13</t>
  </si>
  <si>
    <t>DETAILS</t>
  </si>
  <si>
    <t>BASIS</t>
  </si>
  <si>
    <t>CURRENCY</t>
  </si>
  <si>
    <t>AMOUNT</t>
  </si>
  <si>
    <t>VALID FROM</t>
  </si>
  <si>
    <t>VALID UNTIL</t>
  </si>
  <si>
    <t>*</t>
  </si>
  <si>
    <t>demurrage / detention applicable in countries:
Germany, Belgium, Netherlands, France, Ireland, Scandinavia</t>
  </si>
  <si>
    <t>demurrage / detention applicable in countries:
Poland, Austria, Czech Rep., Hungary, Slowakia, Slowenia, Bosnia-Herzegovina, Croatia, Makedonija, Serbia-Montenegro</t>
  </si>
  <si>
    <t>20' standard: day 1 to 10</t>
  </si>
  <si>
    <t>20' standard: day 11 to 25</t>
  </si>
  <si>
    <t>20' standard: from day 26</t>
  </si>
  <si>
    <t>40' standard: day 1 to 10</t>
  </si>
  <si>
    <t>40' standard: day 11 to 25</t>
  </si>
  <si>
    <t>40' standard: from day 26</t>
  </si>
  <si>
    <t>20' reefer: day 1 to 5</t>
  </si>
  <si>
    <t>20' reefer: day 6 to 10</t>
  </si>
  <si>
    <t>40' reefer: day 1 to 5</t>
  </si>
  <si>
    <t>40' reefer: day 6 to 10</t>
  </si>
  <si>
    <t>20' special: day 1 to 10</t>
  </si>
  <si>
    <t>20' special: from day 11</t>
  </si>
  <si>
    <t>40' special: day 1 to 10</t>
  </si>
  <si>
    <t>40' special: from day 11</t>
  </si>
  <si>
    <t>Container type</t>
  </si>
  <si>
    <t>20' standard</t>
  </si>
  <si>
    <t>40' standard</t>
  </si>
  <si>
    <t>20' reefer</t>
  </si>
  <si>
    <t>40' reefer</t>
  </si>
  <si>
    <t>20' special</t>
  </si>
  <si>
    <t>40' special</t>
  </si>
  <si>
    <t>Country</t>
  </si>
  <si>
    <t>Germany, Belgium, Netherlands, France, Ireland, Scandinavia</t>
  </si>
  <si>
    <t>Poland, Austria, Czech Rep., Hungary, Slowakia, Slowenia, Bosnia-Herzegovina, Croatia, Makedonija, Serbia-Montenegro</t>
  </si>
  <si>
    <t>days</t>
  </si>
  <si>
    <t>Germany, Belgium, Netherlands, France, Ireland, Scandinavia20' standard</t>
  </si>
  <si>
    <t>Germany, Belgium, Netherlands, France, Ireland, Scandinavia40' standard</t>
  </si>
  <si>
    <t>Germany, Belgium, Netherlands, France, Ireland, Scandinavia20' reefer</t>
  </si>
  <si>
    <t>Germany, Belgium, Netherlands, France, Ireland, Scandinavia40' reefer</t>
  </si>
  <si>
    <t>Germany, Belgium, Netherlands, France, Ireland, Scandinavia40' special</t>
  </si>
  <si>
    <t>Germany, Belgium, Netherlands, France, Ireland, Scandinavia20' special</t>
  </si>
  <si>
    <t>type</t>
  </si>
  <si>
    <t>total of days</t>
  </si>
  <si>
    <t>total - free days</t>
  </si>
  <si>
    <t>2nd tariff in days</t>
  </si>
  <si>
    <t>1st tariff in days</t>
  </si>
  <si>
    <t>total cost</t>
  </si>
  <si>
    <t>1st tariff cost</t>
  </si>
  <si>
    <t>1st + 2nd tariff cost</t>
  </si>
  <si>
    <t>Poland, Austria, Czech Rep., Hungary, Slowakia, Slowenia, Bosnia-Herzegovina, Croatia, Makedonija, Serbia-Montenegro20' standard</t>
  </si>
  <si>
    <t>Poland, Austria, Czech Rep., Hungary, Slowakia, Slowenia, Bosnia-Herzegovina, Croatia, Makedonija, Serbia-Montenegro40' standard</t>
  </si>
  <si>
    <t>Poland, Austria, Czech Rep., Hungary, Slowakia, Slowenia, Bosnia-Herzegovina, Croatia, Makedonija, Serbia-Montenegro20' reefer</t>
  </si>
  <si>
    <t>Poland, Austria, Czech Rep., Hungary, Slowakia, Slowenia, Bosnia-Herzegovina, Croatia, Makedonija, Serbia-Montenegro40' reefer</t>
  </si>
  <si>
    <t>Poland, Austria, Czech Rep., Hungary, Slowakia, Slowenia, Bosnia-Herzegovina, Croatia, Makedonija, Serbia-Montenegro20' special</t>
  </si>
  <si>
    <t>Poland, Austria, Czech Rep., Hungary, Slowakia, Slowenia, Bosnia-Herzegovina, Croatia, Makedonija, Serbia-Montenegro40' special</t>
  </si>
  <si>
    <t>free days</t>
  </si>
  <si>
    <t>2nd tariff cost</t>
  </si>
  <si>
    <t>1st day after free time</t>
  </si>
  <si>
    <t>1st tariff date</t>
  </si>
  <si>
    <t>1st tariff cost result</t>
  </si>
  <si>
    <t>1st tariff cost FULL</t>
  </si>
  <si>
    <t>Tariff 2</t>
  </si>
  <si>
    <t>Tariff 1</t>
  </si>
  <si>
    <t>Applicable dates for tariff 1:</t>
  </si>
  <si>
    <t>Applicable dates for tariff 2:</t>
  </si>
  <si>
    <t>Subtotal Tariff 1</t>
  </si>
  <si>
    <t>Subtotal Tariff 2</t>
  </si>
  <si>
    <t>to</t>
  </si>
  <si>
    <t>Type of container</t>
  </si>
  <si>
    <t>Freetime:</t>
  </si>
  <si>
    <t>Applicable days:</t>
  </si>
  <si>
    <t>DnD charges applicable for:</t>
  </si>
  <si>
    <t>fm</t>
  </si>
  <si>
    <t>STORAGE</t>
  </si>
  <si>
    <t>Demurrage / Detention (DnD)</t>
  </si>
  <si>
    <t>Storage costs</t>
  </si>
  <si>
    <t>Ja</t>
  </si>
  <si>
    <t>Nein</t>
  </si>
  <si>
    <t>Calculation DnD</t>
  </si>
  <si>
    <t>TOTAL AMOUNT DnD</t>
  </si>
  <si>
    <t>TOTAL AMOUNT Storage</t>
  </si>
  <si>
    <t>Storage costs applicable for:</t>
  </si>
  <si>
    <t>* Calculation based on tariffs published in our surcharge table.</t>
  </si>
  <si>
    <t>IMO Cargo? (excl. IMO class 1 and 7)</t>
  </si>
  <si>
    <t>Refrigeration</t>
  </si>
  <si>
    <t>20'</t>
  </si>
  <si>
    <t>40'</t>
  </si>
  <si>
    <t>REFRIGERATION</t>
  </si>
  <si>
    <t>Reefer</t>
  </si>
  <si>
    <t>costs applicable for:</t>
  </si>
  <si>
    <t>Applicable dates for tariff:</t>
  </si>
  <si>
    <t>REEFER</t>
  </si>
  <si>
    <t>power consumption</t>
  </si>
  <si>
    <t>Gate IN date</t>
  </si>
  <si>
    <t>Pls fill manually only below red fields:</t>
  </si>
  <si>
    <t>www.hamburgsud-line.com/de_surcharges</t>
  </si>
  <si>
    <t>Click here to access our surcharge table:</t>
  </si>
  <si>
    <t>only Germany</t>
  </si>
  <si>
    <t>20' standardNein</t>
  </si>
  <si>
    <t>40' standardNein</t>
  </si>
  <si>
    <t>20' reeferNein</t>
  </si>
  <si>
    <t>40' reeferNein</t>
  </si>
  <si>
    <t>20' specialNein</t>
  </si>
  <si>
    <t>40' specialNein</t>
  </si>
  <si>
    <t>20' standardJa</t>
  </si>
  <si>
    <t>40' standardJa</t>
  </si>
  <si>
    <t>20' reeferJa</t>
  </si>
  <si>
    <t>40' reeferJa</t>
  </si>
  <si>
    <t>20' specialJa</t>
  </si>
  <si>
    <t>40' specialJa</t>
  </si>
  <si>
    <t>imo</t>
  </si>
  <si>
    <t>Please select Terminal Operator:</t>
  </si>
  <si>
    <t>Bu.kai/CTB &amp; CTA (HHLA) Terminals, Hamburg (HAM)</t>
  </si>
  <si>
    <t>NTB Bremerhaven (BRV)</t>
  </si>
  <si>
    <t>EUROGATE Hamburg (HAM)</t>
  </si>
  <si>
    <t>EUROGATE Bremerhaven (BRV)</t>
  </si>
  <si>
    <t>&lt;&lt; BACK</t>
  </si>
  <si>
    <t>from day 11</t>
  </si>
  <si>
    <t>special</t>
  </si>
  <si>
    <t>TOTAL AMOUNT Refrigeration</t>
  </si>
  <si>
    <t>EUROGATE Wilhelmshaven (WHS)</t>
  </si>
  <si>
    <t>DCT Gdansk (GDN)</t>
  </si>
  <si>
    <t>Pick up date</t>
  </si>
  <si>
    <t>Load date</t>
  </si>
  <si>
    <t>from day 15</t>
  </si>
  <si>
    <t>Standard</t>
  </si>
  <si>
    <t>from day 12</t>
  </si>
  <si>
    <t>day 7 - 15</t>
  </si>
  <si>
    <t>from day 16</t>
  </si>
  <si>
    <t>day 3 - 11</t>
  </si>
  <si>
    <t>day 6 - 10</t>
  </si>
  <si>
    <t>day 2 - 6</t>
  </si>
  <si>
    <t>from day 7</t>
  </si>
  <si>
    <t>day 2 - 10</t>
  </si>
  <si>
    <t>day 7 - 14</t>
  </si>
  <si>
    <t>day 3 - 10</t>
  </si>
  <si>
    <t>day 5 - 12</t>
  </si>
  <si>
    <t>from day 13</t>
  </si>
  <si>
    <t>Detention</t>
  </si>
  <si>
    <t>Poland</t>
  </si>
  <si>
    <t>20' standard: day 1 to 5</t>
  </si>
  <si>
    <t>20' standard: day 6 to 12</t>
  </si>
  <si>
    <t>40' standard: day 1 to 5</t>
  </si>
  <si>
    <t>40' standard: day 6 to 12</t>
  </si>
  <si>
    <t>20' reefer: day 6 to 12</t>
  </si>
  <si>
    <t>20' reefer: from day 13</t>
  </si>
  <si>
    <t>20' standard &amp; Special</t>
  </si>
  <si>
    <t>40' standard &amp; Special</t>
  </si>
  <si>
    <t>day 10 - 16</t>
  </si>
  <si>
    <t>from day 17</t>
  </si>
  <si>
    <t>day 8 - 14</t>
  </si>
  <si>
    <t>Germany, Belgium, Netherlands, France, Ireland, Scandinavia, Austria, Czech Rep., Hungary, Slowakia, Slowenia, Bosnia-Herzegovina, Croatia, Makedonija, Serbia-Montenegro</t>
  </si>
  <si>
    <t>Demurrage (including Storage)</t>
  </si>
  <si>
    <t>NON ISO /OOG</t>
  </si>
  <si>
    <t>NON ISO / OOG</t>
  </si>
  <si>
    <t>IMO</t>
  </si>
  <si>
    <t>Standart, Reefer, Special in gauge, IMO (nur tariff)</t>
  </si>
  <si>
    <t>standart &amp; IMO</t>
  </si>
  <si>
    <t>Reefer &amp; Special</t>
  </si>
  <si>
    <t>Standard, Reefer</t>
  </si>
  <si>
    <t>day 12 - 19</t>
  </si>
  <si>
    <t>from day 20</t>
  </si>
  <si>
    <t>20' standard: day 11 to 17</t>
  </si>
  <si>
    <t>20' standard: from day 18</t>
  </si>
  <si>
    <t>40' standard: day 11 to 17</t>
  </si>
  <si>
    <t>40' standard: from day 18</t>
  </si>
  <si>
    <t>20' reefer: day 1 to 7</t>
  </si>
  <si>
    <t>20' reefer: day 8 to 14</t>
  </si>
  <si>
    <t>20' reefer: from day 15</t>
  </si>
  <si>
    <t>40' reefer: day 1 to 7</t>
  </si>
  <si>
    <t>40' reefer: day 8 to 14</t>
  </si>
  <si>
    <t>40' reefer: from day 15</t>
  </si>
  <si>
    <t>20' special: day 8 to 14</t>
  </si>
  <si>
    <t>20' special: from day 15</t>
  </si>
  <si>
    <t>40' special: day 8 to 14</t>
  </si>
  <si>
    <t>40' special: from day 15</t>
  </si>
  <si>
    <t>EXPORT Calculator as of 01.04.2022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</si>
</sst>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&quot;€&quot;* #,##0.00_);_(&quot;€&quot;* \(#,##0.00\);_(&quot;€&quot;* &quot;-&quot;??_);_(@_)"/>
    <numFmt numFmtId="175" formatCode="dd/mm/yy;@"/>
    <numFmt numFmtId="176" formatCode="#,##0.00\ &quot;€&quot;"/>
    <numFmt numFmtId="177" formatCode="[$-407]dddd\,\ d\.\ mmmm\ yyyy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i/>
      <sz val="10"/>
      <color indexed="16"/>
      <name val="Arial"/>
      <family val="2"/>
    </font>
    <font>
      <b/>
      <sz val="12"/>
      <color indexed="16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5" tint="-0.24997000396251678"/>
      <name val="Arial"/>
      <family val="2"/>
    </font>
    <font>
      <sz val="8"/>
      <color theme="0"/>
      <name val="Arial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4999699890613556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175" fontId="2" fillId="0" borderId="17" xfId="0" applyNumberFormat="1" applyFont="1" applyBorder="1" applyAlignment="1">
      <alignment horizontal="center" wrapText="1"/>
    </xf>
    <xf numFmtId="175" fontId="2" fillId="0" borderId="18" xfId="0" applyNumberFormat="1" applyFont="1" applyBorder="1" applyAlignment="1">
      <alignment horizontal="center" wrapText="1"/>
    </xf>
    <xf numFmtId="175" fontId="2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36" fillId="0" borderId="0" xfId="0" applyFont="1" applyAlignment="1">
      <alignment/>
    </xf>
    <xf numFmtId="0" fontId="2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right" wrapText="1"/>
      <protection locked="0"/>
    </xf>
    <xf numFmtId="175" fontId="3" fillId="0" borderId="13" xfId="0" applyNumberFormat="1" applyFont="1" applyFill="1" applyBorder="1" applyAlignment="1" applyProtection="1">
      <alignment horizontal="left" wrapText="1"/>
      <protection locked="0"/>
    </xf>
    <xf numFmtId="2" fontId="3" fillId="0" borderId="10" xfId="0" applyNumberFormat="1" applyFont="1" applyFill="1" applyBorder="1" applyAlignment="1" applyProtection="1">
      <alignment horizontal="right" wrapText="1"/>
      <protection locked="0"/>
    </xf>
    <xf numFmtId="175" fontId="3" fillId="0" borderId="10" xfId="0" applyNumberFormat="1" applyFont="1" applyFill="1" applyBorder="1" applyAlignment="1" applyProtection="1">
      <alignment horizontal="left" wrapText="1"/>
      <protection locked="0"/>
    </xf>
    <xf numFmtId="2" fontId="3" fillId="0" borderId="16" xfId="0" applyNumberFormat="1" applyFont="1" applyFill="1" applyBorder="1" applyAlignment="1" applyProtection="1">
      <alignment horizontal="right" wrapText="1"/>
      <protection locked="0"/>
    </xf>
    <xf numFmtId="175" fontId="3" fillId="0" borderId="16" xfId="0" applyNumberFormat="1" applyFont="1" applyFill="1" applyBorder="1" applyAlignment="1" applyProtection="1">
      <alignment horizontal="left" wrapText="1"/>
      <protection locked="0"/>
    </xf>
    <xf numFmtId="14" fontId="0" fillId="0" borderId="10" xfId="0" applyNumberForma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Font="1" applyBorder="1" applyAlignment="1">
      <alignment/>
    </xf>
    <xf numFmtId="176" fontId="52" fillId="33" borderId="24" xfId="44" applyNumberFormat="1" applyFont="1" applyFill="1" applyBorder="1" applyAlignment="1">
      <alignment horizontal="center"/>
    </xf>
    <xf numFmtId="176" fontId="52" fillId="34" borderId="23" xfId="44" applyNumberFormat="1" applyFont="1" applyFill="1" applyBorder="1" applyAlignment="1">
      <alignment/>
    </xf>
    <xf numFmtId="176" fontId="52" fillId="33" borderId="25" xfId="44" applyNumberFormat="1" applyFont="1" applyFill="1" applyBorder="1" applyAlignment="1">
      <alignment horizontal="center"/>
    </xf>
    <xf numFmtId="14" fontId="0" fillId="34" borderId="26" xfId="0" applyNumberFormat="1" applyFont="1" applyFill="1" applyBorder="1" applyAlignment="1">
      <alignment horizontal="right"/>
    </xf>
    <xf numFmtId="14" fontId="0" fillId="34" borderId="24" xfId="0" applyNumberFormat="1" applyFont="1" applyFill="1" applyBorder="1" applyAlignment="1">
      <alignment horizontal="left"/>
    </xf>
    <xf numFmtId="14" fontId="0" fillId="34" borderId="27" xfId="0" applyNumberFormat="1" applyFont="1" applyFill="1" applyBorder="1" applyAlignment="1">
      <alignment horizontal="right"/>
    </xf>
    <xf numFmtId="176" fontId="0" fillId="0" borderId="23" xfId="44" applyNumberFormat="1" applyFont="1" applyFill="1" applyBorder="1" applyAlignment="1">
      <alignment horizontal="center"/>
    </xf>
    <xf numFmtId="0" fontId="52" fillId="34" borderId="25" xfId="0" applyNumberFormat="1" applyFont="1" applyFill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14" fontId="52" fillId="33" borderId="26" xfId="0" applyNumberFormat="1" applyFont="1" applyFill="1" applyBorder="1" applyAlignment="1">
      <alignment horizontal="right"/>
    </xf>
    <xf numFmtId="0" fontId="52" fillId="0" borderId="29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14" fontId="52" fillId="34" borderId="30" xfId="0" applyNumberFormat="1" applyFont="1" applyFill="1" applyBorder="1" applyAlignment="1">
      <alignment horizontal="left"/>
    </xf>
    <xf numFmtId="174" fontId="52" fillId="34" borderId="27" xfId="44" applyFont="1" applyFill="1" applyBorder="1" applyAlignment="1">
      <alignment horizontal="left"/>
    </xf>
    <xf numFmtId="0" fontId="55" fillId="35" borderId="31" xfId="0" applyFont="1" applyFill="1" applyBorder="1" applyAlignment="1">
      <alignment horizontal="left"/>
    </xf>
    <xf numFmtId="176" fontId="56" fillId="35" borderId="32" xfId="44" applyNumberFormat="1" applyFont="1" applyFill="1" applyBorder="1" applyAlignment="1">
      <alignment horizontal="center"/>
    </xf>
    <xf numFmtId="0" fontId="57" fillId="0" borderId="33" xfId="0" applyFont="1" applyBorder="1" applyAlignment="1">
      <alignment horizontal="left"/>
    </xf>
    <xf numFmtId="0" fontId="0" fillId="0" borderId="33" xfId="0" applyBorder="1" applyAlignment="1">
      <alignment/>
    </xf>
    <xf numFmtId="0" fontId="52" fillId="0" borderId="33" xfId="0" applyFont="1" applyBorder="1" applyAlignment="1">
      <alignment/>
    </xf>
    <xf numFmtId="0" fontId="54" fillId="0" borderId="33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36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4" fontId="36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5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6" fillId="0" borderId="0" xfId="0" applyFont="1" applyAlignment="1" applyProtection="1">
      <alignment/>
      <protection locked="0"/>
    </xf>
    <xf numFmtId="0" fontId="52" fillId="0" borderId="32" xfId="0" applyFont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0" fontId="36" fillId="0" borderId="33" xfId="0" applyFont="1" applyBorder="1" applyAlignment="1">
      <alignment/>
    </xf>
    <xf numFmtId="0" fontId="39" fillId="36" borderId="39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36" fillId="0" borderId="40" xfId="0" applyFont="1" applyBorder="1" applyAlignment="1">
      <alignment/>
    </xf>
    <xf numFmtId="0" fontId="36" fillId="0" borderId="41" xfId="0" applyFont="1" applyFill="1" applyBorder="1" applyAlignment="1">
      <alignment/>
    </xf>
    <xf numFmtId="0" fontId="0" fillId="0" borderId="41" xfId="0" applyBorder="1" applyAlignment="1">
      <alignment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left" wrapText="1"/>
    </xf>
    <xf numFmtId="0" fontId="52" fillId="0" borderId="20" xfId="0" applyFont="1" applyBorder="1" applyAlignment="1">
      <alignment/>
    </xf>
    <xf numFmtId="14" fontId="59" fillId="3" borderId="42" xfId="0" applyNumberFormat="1" applyFont="1" applyFill="1" applyBorder="1" applyAlignment="1" applyProtection="1">
      <alignment horizontal="center"/>
      <protection locked="0"/>
    </xf>
    <xf numFmtId="0" fontId="59" fillId="3" borderId="42" xfId="0" applyFont="1" applyFill="1" applyBorder="1" applyAlignment="1" applyProtection="1">
      <alignment horizontal="center"/>
      <protection locked="0"/>
    </xf>
    <xf numFmtId="0" fontId="60" fillId="0" borderId="42" xfId="0" applyFont="1" applyBorder="1" applyAlignment="1">
      <alignment horizontal="center"/>
    </xf>
    <xf numFmtId="0" fontId="46" fillId="0" borderId="0" xfId="53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53" fillId="0" borderId="0" xfId="0" applyFont="1" applyAlignment="1">
      <alignment/>
    </xf>
    <xf numFmtId="0" fontId="62" fillId="0" borderId="21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62" fillId="0" borderId="12" xfId="0" applyFont="1" applyBorder="1" applyAlignment="1">
      <alignment horizontal="left" wrapText="1"/>
    </xf>
    <xf numFmtId="0" fontId="53" fillId="0" borderId="22" xfId="0" applyFont="1" applyBorder="1" applyAlignment="1">
      <alignment/>
    </xf>
    <xf numFmtId="0" fontId="53" fillId="37" borderId="22" xfId="0" applyFont="1" applyFill="1" applyBorder="1" applyAlignment="1">
      <alignment/>
    </xf>
    <xf numFmtId="0" fontId="53" fillId="37" borderId="10" xfId="0" applyFont="1" applyFill="1" applyBorder="1" applyAlignment="1">
      <alignment/>
    </xf>
    <xf numFmtId="0" fontId="7" fillId="33" borderId="42" xfId="0" applyFont="1" applyFill="1" applyBorder="1" applyAlignment="1" applyProtection="1">
      <alignment horizontal="center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46" fillId="0" borderId="0" xfId="53" applyFill="1" applyAlignment="1">
      <alignment/>
    </xf>
    <xf numFmtId="16" fontId="0" fillId="0" borderId="26" xfId="0" applyNumberFormat="1" applyFill="1" applyBorder="1" applyAlignment="1">
      <alignment/>
    </xf>
    <xf numFmtId="0" fontId="8" fillId="0" borderId="0" xfId="0" applyFont="1" applyAlignment="1">
      <alignment/>
    </xf>
    <xf numFmtId="0" fontId="2" fillId="38" borderId="12" xfId="0" applyFont="1" applyFill="1" applyBorder="1" applyAlignment="1">
      <alignment horizontal="left" wrapText="1"/>
    </xf>
    <xf numFmtId="0" fontId="3" fillId="38" borderId="13" xfId="0" applyFont="1" applyFill="1" applyBorder="1" applyAlignment="1">
      <alignment horizontal="left" wrapText="1"/>
    </xf>
    <xf numFmtId="0" fontId="2" fillId="38" borderId="13" xfId="0" applyFont="1" applyFill="1" applyBorder="1" applyAlignment="1">
      <alignment horizontal="left" wrapText="1"/>
    </xf>
    <xf numFmtId="0" fontId="3" fillId="38" borderId="13" xfId="0" applyFont="1" applyFill="1" applyBorder="1" applyAlignment="1">
      <alignment horizontal="center" wrapText="1"/>
    </xf>
    <xf numFmtId="2" fontId="3" fillId="38" borderId="13" xfId="0" applyNumberFormat="1" applyFont="1" applyFill="1" applyBorder="1" applyAlignment="1" applyProtection="1">
      <alignment horizontal="right" wrapText="1"/>
      <protection locked="0"/>
    </xf>
    <xf numFmtId="175" fontId="3" fillId="38" borderId="13" xfId="0" applyNumberFormat="1" applyFont="1" applyFill="1" applyBorder="1" applyAlignment="1" applyProtection="1">
      <alignment horizontal="left" wrapText="1"/>
      <protection locked="0"/>
    </xf>
    <xf numFmtId="175" fontId="2" fillId="38" borderId="17" xfId="0" applyNumberFormat="1" applyFont="1" applyFill="1" applyBorder="1" applyAlignment="1">
      <alignment horizontal="center" wrapText="1"/>
    </xf>
    <xf numFmtId="0" fontId="2" fillId="38" borderId="14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2" fontId="3" fillId="38" borderId="10" xfId="0" applyNumberFormat="1" applyFont="1" applyFill="1" applyBorder="1" applyAlignment="1" applyProtection="1">
      <alignment horizontal="right" wrapText="1"/>
      <protection locked="0"/>
    </xf>
    <xf numFmtId="175" fontId="3" fillId="38" borderId="10" xfId="0" applyNumberFormat="1" applyFont="1" applyFill="1" applyBorder="1" applyAlignment="1" applyProtection="1">
      <alignment horizontal="left" wrapText="1"/>
      <protection locked="0"/>
    </xf>
    <xf numFmtId="175" fontId="2" fillId="38" borderId="18" xfId="0" applyNumberFormat="1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left" wrapText="1"/>
    </xf>
    <xf numFmtId="0" fontId="3" fillId="38" borderId="16" xfId="0" applyFont="1" applyFill="1" applyBorder="1" applyAlignment="1">
      <alignment horizontal="left" wrapText="1"/>
    </xf>
    <xf numFmtId="0" fontId="2" fillId="38" borderId="16" xfId="0" applyFont="1" applyFill="1" applyBorder="1" applyAlignment="1">
      <alignment horizontal="left" wrapText="1"/>
    </xf>
    <xf numFmtId="0" fontId="3" fillId="38" borderId="16" xfId="0" applyFont="1" applyFill="1" applyBorder="1" applyAlignment="1">
      <alignment horizontal="center" wrapText="1"/>
    </xf>
    <xf numFmtId="2" fontId="3" fillId="38" borderId="16" xfId="0" applyNumberFormat="1" applyFont="1" applyFill="1" applyBorder="1" applyAlignment="1" applyProtection="1">
      <alignment horizontal="right" wrapText="1"/>
      <protection locked="0"/>
    </xf>
    <xf numFmtId="175" fontId="3" fillId="38" borderId="16" xfId="0" applyNumberFormat="1" applyFont="1" applyFill="1" applyBorder="1" applyAlignment="1" applyProtection="1">
      <alignment horizontal="left" wrapText="1"/>
      <protection locked="0"/>
    </xf>
    <xf numFmtId="175" fontId="2" fillId="38" borderId="19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5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52" fillId="0" borderId="10" xfId="0" applyFont="1" applyFill="1" applyBorder="1" applyAlignment="1">
      <alignment/>
    </xf>
    <xf numFmtId="0" fontId="4" fillId="3" borderId="10" xfId="0" applyFont="1" applyFill="1" applyBorder="1" applyAlignment="1">
      <alignment horizontal="left" wrapText="1"/>
    </xf>
    <xf numFmtId="0" fontId="8" fillId="39" borderId="10" xfId="0" applyFont="1" applyFill="1" applyBorder="1" applyAlignment="1">
      <alignment/>
    </xf>
    <xf numFmtId="14" fontId="0" fillId="39" borderId="10" xfId="0" applyNumberFormat="1" applyFill="1" applyBorder="1" applyAlignment="1">
      <alignment/>
    </xf>
    <xf numFmtId="16" fontId="0" fillId="0" borderId="35" xfId="0" applyNumberFormat="1" applyFill="1" applyBorder="1" applyAlignment="1">
      <alignment/>
    </xf>
    <xf numFmtId="0" fontId="8" fillId="0" borderId="10" xfId="0" applyFont="1" applyBorder="1" applyAlignment="1">
      <alignment/>
    </xf>
    <xf numFmtId="14" fontId="8" fillId="39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/>
    </xf>
    <xf numFmtId="0" fontId="52" fillId="0" borderId="32" xfId="0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75" fontId="2" fillId="0" borderId="17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75" fontId="2" fillId="0" borderId="18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175" fontId="2" fillId="0" borderId="19" xfId="0" applyNumberFormat="1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left" wrapText="1"/>
    </xf>
    <xf numFmtId="0" fontId="2" fillId="40" borderId="13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center" wrapText="1"/>
    </xf>
    <xf numFmtId="2" fontId="3" fillId="40" borderId="13" xfId="0" applyNumberFormat="1" applyFont="1" applyFill="1" applyBorder="1" applyAlignment="1" applyProtection="1">
      <alignment horizontal="right" wrapText="1"/>
      <protection locked="0"/>
    </xf>
    <xf numFmtId="175" fontId="3" fillId="40" borderId="13" xfId="0" applyNumberFormat="1" applyFont="1" applyFill="1" applyBorder="1" applyAlignment="1" applyProtection="1">
      <alignment horizontal="left" wrapText="1"/>
      <protection locked="0"/>
    </xf>
    <xf numFmtId="175" fontId="2" fillId="40" borderId="17" xfId="0" applyNumberFormat="1" applyFont="1" applyFill="1" applyBorder="1" applyAlignment="1">
      <alignment horizontal="center" wrapText="1"/>
    </xf>
    <xf numFmtId="0" fontId="2" fillId="40" borderId="15" xfId="0" applyFont="1" applyFill="1" applyBorder="1" applyAlignment="1">
      <alignment horizontal="left" wrapText="1"/>
    </xf>
    <xf numFmtId="0" fontId="3" fillId="40" borderId="16" xfId="0" applyFont="1" applyFill="1" applyBorder="1" applyAlignment="1">
      <alignment horizontal="left" wrapText="1"/>
    </xf>
    <xf numFmtId="0" fontId="2" fillId="40" borderId="16" xfId="0" applyFont="1" applyFill="1" applyBorder="1" applyAlignment="1">
      <alignment horizontal="left" wrapText="1"/>
    </xf>
    <xf numFmtId="0" fontId="3" fillId="40" borderId="16" xfId="0" applyFont="1" applyFill="1" applyBorder="1" applyAlignment="1">
      <alignment horizontal="center" wrapText="1"/>
    </xf>
    <xf numFmtId="2" fontId="3" fillId="40" borderId="16" xfId="0" applyNumberFormat="1" applyFont="1" applyFill="1" applyBorder="1" applyAlignment="1" applyProtection="1">
      <alignment horizontal="right" wrapText="1"/>
      <protection locked="0"/>
    </xf>
    <xf numFmtId="175" fontId="3" fillId="40" borderId="16" xfId="0" applyNumberFormat="1" applyFont="1" applyFill="1" applyBorder="1" applyAlignment="1" applyProtection="1">
      <alignment horizontal="left" wrapText="1"/>
      <protection locked="0"/>
    </xf>
    <xf numFmtId="175" fontId="2" fillId="40" borderId="19" xfId="0" applyNumberFormat="1" applyFont="1" applyFill="1" applyBorder="1" applyAlignment="1">
      <alignment horizontal="center" wrapText="1"/>
    </xf>
    <xf numFmtId="0" fontId="2" fillId="39" borderId="21" xfId="0" applyFont="1" applyFill="1" applyBorder="1" applyAlignment="1">
      <alignment horizontal="left" wrapText="1"/>
    </xf>
    <xf numFmtId="2" fontId="8" fillId="39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 horizontal="left" wrapText="1"/>
    </xf>
    <xf numFmtId="0" fontId="8" fillId="39" borderId="22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46" fillId="0" borderId="10" xfId="53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38" borderId="31" xfId="0" applyFont="1" applyFill="1" applyBorder="1" applyAlignment="1">
      <alignment horizontal="center" wrapText="1"/>
    </xf>
    <xf numFmtId="0" fontId="4" fillId="38" borderId="46" xfId="0" applyFont="1" applyFill="1" applyBorder="1" applyAlignment="1">
      <alignment horizontal="center" wrapText="1"/>
    </xf>
    <xf numFmtId="0" fontId="4" fillId="38" borderId="32" xfId="0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1.emf" /><Relationship Id="rId3" Type="http://schemas.openxmlformats.org/officeDocument/2006/relationships/image" Target="../media/image33.emf" /><Relationship Id="rId4" Type="http://schemas.openxmlformats.org/officeDocument/2006/relationships/image" Target="../media/image36.emf" /><Relationship Id="rId5" Type="http://schemas.openxmlformats.org/officeDocument/2006/relationships/image" Target="../media/image10.emf" /><Relationship Id="rId6" Type="http://schemas.openxmlformats.org/officeDocument/2006/relationships/image" Target="../media/image17.emf" /><Relationship Id="rId7" Type="http://schemas.openxmlformats.org/officeDocument/2006/relationships/image" Target="../media/image20.emf" /><Relationship Id="rId8" Type="http://schemas.openxmlformats.org/officeDocument/2006/relationships/image" Target="../media/image22.emf" /><Relationship Id="rId9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8.emf" /><Relationship Id="rId3" Type="http://schemas.openxmlformats.org/officeDocument/2006/relationships/image" Target="../media/image34.emf" /><Relationship Id="rId4" Type="http://schemas.openxmlformats.org/officeDocument/2006/relationships/image" Target="../media/image41.emf" /><Relationship Id="rId5" Type="http://schemas.openxmlformats.org/officeDocument/2006/relationships/image" Target="../media/image35.emf" /><Relationship Id="rId6" Type="http://schemas.openxmlformats.org/officeDocument/2006/relationships/image" Target="../media/image39.emf" /><Relationship Id="rId7" Type="http://schemas.openxmlformats.org/officeDocument/2006/relationships/image" Target="../media/image40.emf" /><Relationship Id="rId8" Type="http://schemas.openxmlformats.org/officeDocument/2006/relationships/image" Target="../media/image37.emf" /><Relationship Id="rId9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8.emf" /><Relationship Id="rId3" Type="http://schemas.openxmlformats.org/officeDocument/2006/relationships/image" Target="../media/image19.emf" /><Relationship Id="rId4" Type="http://schemas.openxmlformats.org/officeDocument/2006/relationships/image" Target="../media/image32.emf" /><Relationship Id="rId5" Type="http://schemas.openxmlformats.org/officeDocument/2006/relationships/image" Target="../media/image25.emf" /><Relationship Id="rId6" Type="http://schemas.openxmlformats.org/officeDocument/2006/relationships/image" Target="../media/image5.emf" /><Relationship Id="rId7" Type="http://schemas.openxmlformats.org/officeDocument/2006/relationships/image" Target="../media/image29.emf" /><Relationship Id="rId8" Type="http://schemas.openxmlformats.org/officeDocument/2006/relationships/image" Target="../media/image2.emf" /><Relationship Id="rId9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4.emf" /><Relationship Id="rId5" Type="http://schemas.openxmlformats.org/officeDocument/2006/relationships/image" Target="../media/image24.emf" /><Relationship Id="rId6" Type="http://schemas.openxmlformats.org/officeDocument/2006/relationships/image" Target="../media/image30.emf" /><Relationship Id="rId7" Type="http://schemas.openxmlformats.org/officeDocument/2006/relationships/image" Target="../media/image11.emf" /><Relationship Id="rId8" Type="http://schemas.openxmlformats.org/officeDocument/2006/relationships/image" Target="../media/image26.emf" /><Relationship Id="rId9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27.emf" /><Relationship Id="rId5" Type="http://schemas.openxmlformats.org/officeDocument/2006/relationships/image" Target="../media/image9.emf" /><Relationship Id="rId6" Type="http://schemas.openxmlformats.org/officeDocument/2006/relationships/image" Target="../media/image49.emf" /><Relationship Id="rId7" Type="http://schemas.openxmlformats.org/officeDocument/2006/relationships/image" Target="../media/image48.emf" /><Relationship Id="rId8" Type="http://schemas.openxmlformats.org/officeDocument/2006/relationships/image" Target="../media/image47.emf" /><Relationship Id="rId9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5.emf" /><Relationship Id="rId3" Type="http://schemas.openxmlformats.org/officeDocument/2006/relationships/image" Target="../media/image44.emf" /><Relationship Id="rId4" Type="http://schemas.openxmlformats.org/officeDocument/2006/relationships/image" Target="../media/image43.emf" /><Relationship Id="rId5" Type="http://schemas.openxmlformats.org/officeDocument/2006/relationships/image" Target="../media/image42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13.emf" /><Relationship Id="rId9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</xdr:row>
      <xdr:rowOff>0</xdr:rowOff>
    </xdr:from>
    <xdr:to>
      <xdr:col>14</xdr:col>
      <xdr:colOff>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619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22</xdr:row>
      <xdr:rowOff>152400</xdr:rowOff>
    </xdr:from>
    <xdr:to>
      <xdr:col>3</xdr:col>
      <xdr:colOff>200025</xdr:colOff>
      <xdr:row>24</xdr:row>
      <xdr:rowOff>76200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4219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22</xdr:row>
      <xdr:rowOff>152400</xdr:rowOff>
    </xdr:from>
    <xdr:to>
      <xdr:col>4</xdr:col>
      <xdr:colOff>466725</xdr:colOff>
      <xdr:row>24</xdr:row>
      <xdr:rowOff>76200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4219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2324100</xdr:colOff>
      <xdr:row>4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476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</xdr:row>
      <xdr:rowOff>123825</xdr:rowOff>
    </xdr:from>
    <xdr:to>
      <xdr:col>3</xdr:col>
      <xdr:colOff>209550</xdr:colOff>
      <xdr:row>35</xdr:row>
      <xdr:rowOff>200025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34</xdr:row>
      <xdr:rowOff>123825</xdr:rowOff>
    </xdr:from>
    <xdr:to>
      <xdr:col>4</xdr:col>
      <xdr:colOff>476250</xdr:colOff>
      <xdr:row>35</xdr:row>
      <xdr:rowOff>200025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2324100</xdr:colOff>
      <xdr:row>4</xdr:row>
      <xdr:rowOff>38100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57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</xdr:row>
      <xdr:rowOff>123825</xdr:rowOff>
    </xdr:from>
    <xdr:to>
      <xdr:col>3</xdr:col>
      <xdr:colOff>209550</xdr:colOff>
      <xdr:row>35</xdr:row>
      <xdr:rowOff>200025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34</xdr:row>
      <xdr:rowOff>123825</xdr:rowOff>
    </xdr:from>
    <xdr:to>
      <xdr:col>4</xdr:col>
      <xdr:colOff>476250</xdr:colOff>
      <xdr:row>35</xdr:row>
      <xdr:rowOff>200025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133350</xdr:rowOff>
    </xdr:from>
    <xdr:to>
      <xdr:col>0</xdr:col>
      <xdr:colOff>2324100</xdr:colOff>
      <xdr:row>4</xdr:row>
      <xdr:rowOff>85725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33350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</xdr:row>
      <xdr:rowOff>123825</xdr:rowOff>
    </xdr:from>
    <xdr:to>
      <xdr:col>3</xdr:col>
      <xdr:colOff>209550</xdr:colOff>
      <xdr:row>35</xdr:row>
      <xdr:rowOff>200025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34</xdr:row>
      <xdr:rowOff>123825</xdr:rowOff>
    </xdr:from>
    <xdr:to>
      <xdr:col>4</xdr:col>
      <xdr:colOff>476250</xdr:colOff>
      <xdr:row>35</xdr:row>
      <xdr:rowOff>200025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114300</xdr:rowOff>
    </xdr:from>
    <xdr:to>
      <xdr:col>0</xdr:col>
      <xdr:colOff>2324100</xdr:colOff>
      <xdr:row>4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14300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</xdr:row>
      <xdr:rowOff>123825</xdr:rowOff>
    </xdr:from>
    <xdr:to>
      <xdr:col>3</xdr:col>
      <xdr:colOff>209550</xdr:colOff>
      <xdr:row>35</xdr:row>
      <xdr:rowOff>200025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34</xdr:row>
      <xdr:rowOff>123825</xdr:rowOff>
    </xdr:from>
    <xdr:to>
      <xdr:col>4</xdr:col>
      <xdr:colOff>476250</xdr:colOff>
      <xdr:row>35</xdr:row>
      <xdr:rowOff>200025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134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1</xdr:row>
      <xdr:rowOff>0</xdr:rowOff>
    </xdr:from>
    <xdr:to>
      <xdr:col>0</xdr:col>
      <xdr:colOff>2324100</xdr:colOff>
      <xdr:row>4</xdr:row>
      <xdr:rowOff>114300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619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22</xdr:row>
      <xdr:rowOff>152400</xdr:rowOff>
    </xdr:from>
    <xdr:to>
      <xdr:col>3</xdr:col>
      <xdr:colOff>200025</xdr:colOff>
      <xdr:row>24</xdr:row>
      <xdr:rowOff>76200</xdr:rowOff>
    </xdr:to>
    <xdr:pic>
      <xdr:nvPicPr>
        <xdr:cNvPr id="1" name="sh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4219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22</xdr:row>
      <xdr:rowOff>152400</xdr:rowOff>
    </xdr:from>
    <xdr:to>
      <xdr:col>4</xdr:col>
      <xdr:colOff>466725</xdr:colOff>
      <xdr:row>24</xdr:row>
      <xdr:rowOff>76200</xdr:rowOff>
    </xdr:to>
    <xdr:pic>
      <xdr:nvPicPr>
        <xdr:cNvPr id="2" name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4219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53</xdr:row>
      <xdr:rowOff>0</xdr:rowOff>
    </xdr:from>
    <xdr:to>
      <xdr:col>3</xdr:col>
      <xdr:colOff>209550</xdr:colOff>
      <xdr:row>54</xdr:row>
      <xdr:rowOff>38100</xdr:rowOff>
    </xdr:to>
    <xdr:pic>
      <xdr:nvPicPr>
        <xdr:cNvPr id="3" name="show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53</xdr:row>
      <xdr:rowOff>0</xdr:rowOff>
    </xdr:from>
    <xdr:to>
      <xdr:col>4</xdr:col>
      <xdr:colOff>476250</xdr:colOff>
      <xdr:row>54</xdr:row>
      <xdr:rowOff>38100</xdr:rowOff>
    </xdr:to>
    <xdr:pic>
      <xdr:nvPicPr>
        <xdr:cNvPr id="4" name="hide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91725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62</xdr:row>
      <xdr:rowOff>0</xdr:rowOff>
    </xdr:from>
    <xdr:to>
      <xdr:col>3</xdr:col>
      <xdr:colOff>209550</xdr:colOff>
      <xdr:row>63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266700</xdr:colOff>
      <xdr:row>62</xdr:row>
      <xdr:rowOff>0</xdr:rowOff>
    </xdr:from>
    <xdr:to>
      <xdr:col>4</xdr:col>
      <xdr:colOff>476250</xdr:colOff>
      <xdr:row>63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0706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19</xdr:row>
      <xdr:rowOff>66675</xdr:rowOff>
    </xdr:from>
    <xdr:to>
      <xdr:col>3</xdr:col>
      <xdr:colOff>200025</xdr:colOff>
      <xdr:row>20</xdr:row>
      <xdr:rowOff>133350</xdr:rowOff>
    </xdr:to>
    <xdr:pic>
      <xdr:nvPicPr>
        <xdr:cNvPr id="7" name="show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257175</xdr:colOff>
      <xdr:row>19</xdr:row>
      <xdr:rowOff>66675</xdr:rowOff>
    </xdr:from>
    <xdr:to>
      <xdr:col>4</xdr:col>
      <xdr:colOff>466725</xdr:colOff>
      <xdr:row>20</xdr:row>
      <xdr:rowOff>133350</xdr:rowOff>
    </xdr:to>
    <xdr:pic>
      <xdr:nvPicPr>
        <xdr:cNvPr id="8" name="hid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3438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2324100</xdr:colOff>
      <xdr:row>4</xdr:row>
      <xdr:rowOff>47625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95250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urgsud-line.com/hsdg/media/hamburgsd/documents_1/regionalinformation/europe_1/deutschland/surcharges_6/local/HSDG_DE_surcharges_IMP_2016_3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7:N20"/>
  <sheetViews>
    <sheetView showGridLines="0" showRowColHeaders="0" tabSelected="1" zoomScalePageLayoutView="0" workbookViewId="0" topLeftCell="A1">
      <selection activeCell="C14" sqref="C14:L14"/>
    </sheetView>
  </sheetViews>
  <sheetFormatPr defaultColWidth="9.140625" defaultRowHeight="12.75"/>
  <sheetData>
    <row r="6" ht="13.5" thickBot="1"/>
    <row r="7" spans="1:14" ht="18.75" thickBot="1">
      <c r="A7" s="183" t="s">
        <v>131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</row>
    <row r="10" spans="3:12" ht="12.75">
      <c r="C10" s="182" t="s">
        <v>132</v>
      </c>
      <c r="D10" s="182"/>
      <c r="E10" s="182"/>
      <c r="F10" s="182"/>
      <c r="G10" s="182"/>
      <c r="H10" s="182"/>
      <c r="I10" s="182"/>
      <c r="J10" s="182"/>
      <c r="K10" s="182"/>
      <c r="L10" s="182"/>
    </row>
    <row r="11" spans="3:12" ht="12.75"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3:12" ht="12.75">
      <c r="C12" s="182" t="s">
        <v>134</v>
      </c>
      <c r="D12" s="182"/>
      <c r="E12" s="182"/>
      <c r="F12" s="182"/>
      <c r="G12" s="182"/>
      <c r="H12" s="182"/>
      <c r="I12" s="182"/>
      <c r="J12" s="182"/>
      <c r="K12" s="182"/>
      <c r="L12" s="182"/>
    </row>
    <row r="13" spans="3:12" ht="12.75"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3:12" ht="12.75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</row>
    <row r="15" spans="3:12" ht="12.75"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3:12" ht="12.75">
      <c r="C16" s="182" t="s">
        <v>135</v>
      </c>
      <c r="D16" s="182"/>
      <c r="E16" s="182"/>
      <c r="F16" s="182"/>
      <c r="G16" s="182"/>
      <c r="H16" s="182"/>
      <c r="I16" s="182"/>
      <c r="J16" s="182"/>
      <c r="K16" s="182"/>
      <c r="L16" s="182"/>
    </row>
    <row r="18" spans="3:12" ht="12.75">
      <c r="C18" s="182" t="s">
        <v>140</v>
      </c>
      <c r="D18" s="182"/>
      <c r="E18" s="182"/>
      <c r="F18" s="182"/>
      <c r="G18" s="182"/>
      <c r="H18" s="182"/>
      <c r="I18" s="182"/>
      <c r="J18" s="182"/>
      <c r="K18" s="182"/>
      <c r="L18" s="182"/>
    </row>
    <row r="20" spans="3:12" ht="12.75">
      <c r="C20" s="182"/>
      <c r="D20" s="182"/>
      <c r="E20" s="182"/>
      <c r="F20" s="182"/>
      <c r="G20" s="182"/>
      <c r="H20" s="182"/>
      <c r="I20" s="182"/>
      <c r="J20" s="182"/>
      <c r="K20" s="182"/>
      <c r="L20" s="182"/>
    </row>
  </sheetData>
  <sheetProtection/>
  <mergeCells count="7">
    <mergeCell ref="C20:L20"/>
    <mergeCell ref="C16:L16"/>
    <mergeCell ref="A7:N7"/>
    <mergeCell ref="C10:L10"/>
    <mergeCell ref="C12:L12"/>
    <mergeCell ref="C14:L14"/>
    <mergeCell ref="C18:L18"/>
  </mergeCells>
  <hyperlinks>
    <hyperlink ref="C10:L10" location="calculator!A1" display="Bu.kai/CTB &amp; CTA (HHLA) Terminals, Hamburg (HAM)"/>
    <hyperlink ref="C12:L12" location="calculator_eurham!A1" display="EUROGATE Hamburg (HAM)"/>
    <hyperlink ref="C14:L14" location="calculator_ntb!A1" display="NTB Bremerhaven (BRV)"/>
    <hyperlink ref="C16:L16" location="calculator_eurbrv!A1" display="EUROGATE Bremerhaven (BRV)"/>
    <hyperlink ref="C18:L18" location="calculator_eurwhs!A1" display="EUROGATE Wilhelmshaven (WHS)"/>
  </hyperlinks>
  <printOptions/>
  <pageMargins left="0.7" right="0.7" top="0.75" bottom="0.75" header="0.3" footer="0.3"/>
  <pageSetup horizontalDpi="600" verticalDpi="600" orientation="portrait" r:id="rId2"/>
  <headerFooter>
    <oddFooter>&amp;L&amp;1#&amp;"Calibri"&amp;10&amp;K000000Classification: Internal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E70"/>
  <sheetViews>
    <sheetView showGridLines="0" zoomScalePageLayoutView="0" workbookViewId="0" topLeftCell="A1">
      <selection activeCell="A7" sqref="A7:D7"/>
    </sheetView>
  </sheetViews>
  <sheetFormatPr defaultColWidth="9.140625" defaultRowHeight="12.75"/>
  <cols>
    <col min="1" max="1" width="34.8515625" style="130" customWidth="1"/>
    <col min="2" max="2" width="104.7109375" style="130" bestFit="1" customWidth="1"/>
    <col min="3" max="3" width="10.140625" style="130" bestFit="1" customWidth="1"/>
    <col min="4" max="16384" width="9.140625" style="130" customWidth="1"/>
  </cols>
  <sheetData>
    <row r="1" ht="12.75">
      <c r="A1" s="74">
        <v>2013</v>
      </c>
    </row>
    <row r="2" ht="12.75"/>
    <row r="3" ht="12.75"/>
    <row r="4" spans="1:4" ht="12.75">
      <c r="A4" s="91"/>
      <c r="B4" s="92"/>
      <c r="C4" s="92"/>
      <c r="D4" s="106" t="s">
        <v>136</v>
      </c>
    </row>
    <row r="5" spans="1:3" ht="12.75">
      <c r="A5" s="93"/>
      <c r="B5" s="92"/>
      <c r="C5" s="92"/>
    </row>
    <row r="6" spans="1:4" ht="18.75" thickBot="1">
      <c r="A6" s="186" t="s">
        <v>140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>
      <c r="A8" s="62"/>
      <c r="B8" s="29"/>
      <c r="C8" s="63"/>
      <c r="D8" s="63"/>
    </row>
    <row r="9" spans="1:4" ht="18">
      <c r="A9" s="59" t="s">
        <v>102</v>
      </c>
      <c r="B9" s="29"/>
      <c r="C9" s="29"/>
      <c r="D9" s="29"/>
    </row>
    <row r="10" spans="1:4" ht="18">
      <c r="A10" s="13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75">
        <f>B14-B12+1</f>
        <v>25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52</v>
      </c>
      <c r="C18" s="66"/>
      <c r="D18" s="64"/>
    </row>
    <row r="19" spans="1:4" ht="13.5" thickBot="1">
      <c r="A19" s="77"/>
      <c r="B19" s="135" t="str">
        <f>CONCATENATE(B18,B17)</f>
        <v>Germany, Belgium, Netherlands, France, Ireland, Scandinavia40' standard</v>
      </c>
      <c r="C19" s="64"/>
      <c r="D19" s="64"/>
    </row>
    <row r="20" spans="1:5" ht="14.25" thickBot="1" thickTop="1">
      <c r="A20" s="81">
        <f>IF(B36&lt;&gt;"FREE",_xlfn.IFERROR(VLOOKUP(B19,database_eurwhs!A40:I52,9,FALSE),"not found in tariff database"),"FREE")</f>
        <v>10</v>
      </c>
      <c r="B20" s="82">
        <f>_xlfn.IFERROR(VLOOKUP(B19,database_eurwhs!A40:H52,8,FALSE),"not found in tariff database")</f>
        <v>995</v>
      </c>
      <c r="C20" s="83"/>
      <c r="D20" s="83"/>
      <c r="E20" s="83"/>
    </row>
    <row r="21" spans="1:4" ht="27.75" customHeight="1" thickBot="1">
      <c r="A21" s="78" t="s">
        <v>94</v>
      </c>
      <c r="B21" s="104" t="s">
        <v>171</v>
      </c>
      <c r="C21" s="64"/>
      <c r="D21" s="64"/>
    </row>
    <row r="22" spans="1:4" ht="12.75">
      <c r="A22" s="52" t="s">
        <v>89</v>
      </c>
      <c r="B22" s="50" t="str">
        <f>IF(B36&lt;&gt;"FREE",_xlfn.IFERROR(VLOOKUP(B19,database_eurwhs!A40:I52,9,FALSE),"not found in tariff database"),"FREE")&amp;" days"</f>
        <v>10 days</v>
      </c>
      <c r="C22" s="64"/>
      <c r="D22" s="64"/>
    </row>
    <row r="23" spans="1:4" ht="12.75">
      <c r="A23" s="53" t="s">
        <v>91</v>
      </c>
      <c r="B23" s="49" t="str">
        <f>C14-A20&amp;" days"</f>
        <v>15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44572</v>
      </c>
      <c r="C25" s="67">
        <f>_xlfn.IFERROR(VLOOKUP(B19,database_eurwhs!A40:J52,10,FALSE),"not found in tariff database")</f>
        <v>44571</v>
      </c>
      <c r="D25" s="64"/>
    </row>
    <row r="26" spans="1:4" ht="12.75">
      <c r="A26" s="44" t="s">
        <v>87</v>
      </c>
      <c r="B26" s="45">
        <f>IF(C26&gt;B14,"x",C26)</f>
        <v>44578</v>
      </c>
      <c r="C26" s="68">
        <f>IF(B36="FREE","FREE",_xlfn.IFERROR(VLOOKUP(B19,database_eurwhs!A40:K52,11,FALSE),"not found in tariff database"))</f>
        <v>44578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IF(B36="FREE",0,_xlfn.IFERROR(VLOOKUP(B19,database_eurwhs!A40:O52,15,FALSE),"not found in tariff database"))</f>
        <v>45</v>
      </c>
      <c r="C28" s="68"/>
      <c r="D28" s="64"/>
    </row>
    <row r="29" spans="1:4" ht="12.75">
      <c r="A29" s="51" t="s">
        <v>85</v>
      </c>
      <c r="B29" s="41">
        <f>IF(B36="FREE",0,_xlfn.IFERROR(VLOOKUP(B19,database_eurwhs!A40:L52,12,FALSE),"not found in tariff database"))</f>
        <v>315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44579</v>
      </c>
      <c r="C31" s="64"/>
      <c r="D31" s="64"/>
    </row>
    <row r="32" spans="1:4" ht="12.75">
      <c r="A32" s="44" t="s">
        <v>87</v>
      </c>
      <c r="B32" s="45">
        <f>IF(B14&lt;=B26,"x",B14)</f>
        <v>44586</v>
      </c>
      <c r="C32" s="64"/>
      <c r="D32" s="64"/>
    </row>
    <row r="33" spans="1:4" ht="12.75">
      <c r="A33" s="55" t="s">
        <v>90</v>
      </c>
      <c r="B33" s="48">
        <f>_xlfn.IFERROR((B32+1)-B31,"x")</f>
        <v>8</v>
      </c>
      <c r="C33" s="64"/>
      <c r="D33" s="64"/>
    </row>
    <row r="34" spans="1:4" ht="12.75">
      <c r="A34" s="46" t="s">
        <v>81</v>
      </c>
      <c r="B34" s="47">
        <f>IF(B36="FREE",0,_xlfn.IFERROR(VLOOKUP(B19,database_eurwhs!A40:P52,16,FALSE),"not found in tariff database"))</f>
        <v>85</v>
      </c>
      <c r="C34" s="64"/>
      <c r="D34" s="64"/>
    </row>
    <row r="35" spans="1:4" ht="13.5" thickBot="1">
      <c r="A35" s="51" t="s">
        <v>86</v>
      </c>
      <c r="B35" s="43">
        <f>_xlfn.IFERROR(VLOOKUP(B19,database_eurwhs!A40:N52,14,FALSE),"not found in tariff database")</f>
        <v>680</v>
      </c>
      <c r="C35" s="64"/>
      <c r="D35" s="64"/>
    </row>
    <row r="36" spans="1:4" ht="16.5" thickBot="1">
      <c r="A36" s="57" t="s">
        <v>99</v>
      </c>
      <c r="B36" s="58">
        <f>IF(B20&gt;0,B20,"FREE")</f>
        <v>995</v>
      </c>
      <c r="C36" s="69"/>
      <c r="D36" s="64"/>
    </row>
    <row r="37" ht="12.75">
      <c r="B37" s="135" t="str">
        <f>CONCATENATE(C15,B15)</f>
        <v>40' standardNein</v>
      </c>
    </row>
    <row r="38" spans="1:2" ht="13.5" thickBot="1">
      <c r="A38" s="135" t="str">
        <f>IF(B54&lt;&gt;"FREE",_xlfn.IFERROR(VLOOKUP(B37,database_eurwhs!A56:I67,9,FALSE),"not found in tariff database"),"FREE")</f>
        <v>FREE</v>
      </c>
      <c r="B38" s="135">
        <f>_xlfn.IFERROR(VLOOKUP(B37,database_eurwhs!A56:H67,8,FALSE),"not found in tariff database")</f>
        <v>0</v>
      </c>
    </row>
    <row r="39" spans="1:2" ht="13.5" thickBot="1">
      <c r="A39" s="78" t="s">
        <v>95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IF(B54&lt;&gt;"FREE",_xlfn.IFERROR(VLOOKUP(B37,database_eurwhs!A56:I67,9,FALSE),"not found in tariff database"),"FREE")&amp;" days"</f>
        <v>FREE days</v>
      </c>
    </row>
    <row r="41" spans="1:2" ht="12.75">
      <c r="A41" s="53" t="s">
        <v>101</v>
      </c>
      <c r="B41" s="49" t="e">
        <f>C13-A38&amp;" days"</f>
        <v>#VALUE!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 t="str">
        <f>IF(B54&lt;&gt;"FREE",C43+1,"FREE")</f>
        <v>FREE</v>
      </c>
      <c r="C43" s="68">
        <f>_xlfn.IFERROR(VLOOKUP(B37,database_eurwhs!A56:J67,10,FALSE),"not found in tariff database")</f>
        <v>44586</v>
      </c>
    </row>
    <row r="44" spans="1:3" ht="12.75">
      <c r="A44" s="44" t="s">
        <v>87</v>
      </c>
      <c r="B44" s="45" t="str">
        <f>IF(C44&gt;B14,"x",C44)</f>
        <v>x</v>
      </c>
      <c r="C44" s="68" t="str">
        <f>IF(B54="FREE","FREE",_xlfn.IFERROR(VLOOKUP(B37,database_eurwhs!A56:K67,11,FALSE),"not found in tariff database"))</f>
        <v>FREE</v>
      </c>
    </row>
    <row r="45" spans="1:2" ht="12.75">
      <c r="A45" s="55" t="s">
        <v>90</v>
      </c>
      <c r="B45" s="48" t="e">
        <f>(B44+1)-B43</f>
        <v>#VALUE!</v>
      </c>
    </row>
    <row r="46" spans="1:2" ht="12.75">
      <c r="A46" s="46" t="s">
        <v>82</v>
      </c>
      <c r="B46" s="47">
        <f>IF(B54="FREE",0,_xlfn.IFERROR(VLOOKUP(B37,database_eurwhs!A56:O67,15,FALSE),"not found in tariff database"))</f>
        <v>0</v>
      </c>
    </row>
    <row r="47" spans="1:2" ht="12.75">
      <c r="A47" s="51" t="s">
        <v>85</v>
      </c>
      <c r="B47" s="41">
        <f>IF(B54="FREE",0,_xlfn.IFERROR(VLOOKUP(B37,database_eurwhs!A56:L67,12,FALSE),"not found in tariff database"))</f>
        <v>0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 t="str">
        <f>IF(OR(B50="x",B50&lt;=B44),"x",B44+1)</f>
        <v>x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 t="str">
        <f>_xlfn.IFERROR((B50+1)-B49,"x")</f>
        <v>x</v>
      </c>
    </row>
    <row r="52" spans="1:2" ht="12.75">
      <c r="A52" s="46" t="s">
        <v>81</v>
      </c>
      <c r="B52" s="47">
        <f>IF(B54="FREE",0,_xlfn.IFERROR(VLOOKUP(B37,database_eurwhs!A56:P67,16,FALSE),"not found in tariff database"))</f>
        <v>0</v>
      </c>
    </row>
    <row r="53" spans="1:2" ht="13.5" thickBot="1">
      <c r="A53" s="51" t="s">
        <v>86</v>
      </c>
      <c r="B53" s="43">
        <f>_xlfn.IFERROR(VLOOKUP(B37,database_eurwhs!A56:N67,14,FALSE),"not found in tariff database")</f>
        <v>0</v>
      </c>
    </row>
    <row r="54" spans="1:2" ht="16.5" thickBot="1">
      <c r="A54" s="57" t="s">
        <v>100</v>
      </c>
      <c r="B54" s="58" t="str">
        <f>IF(B38&gt;0,B38,"FREE")</f>
        <v>FREE</v>
      </c>
    </row>
    <row r="55" ht="12.75"/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135">
        <f>(B62-B61)+1</f>
        <v>9</v>
      </c>
    </row>
    <row r="60" spans="1:2" ht="12.75">
      <c r="A60" s="54" t="s">
        <v>110</v>
      </c>
      <c r="B60" s="40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IF(C17="reefer",C59*database_eurwhs!M11,"NOT APPLICABLE")</f>
        <v>NOT APPLICABLE</v>
      </c>
    </row>
    <row r="64" ht="12.75"/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2">
    <mergeCell ref="A6:D6"/>
    <mergeCell ref="A7:D7"/>
  </mergeCells>
  <dataValidations count="4">
    <dataValidation allowBlank="1" showInputMessage="1" showErrorMessage="1" promptTitle="INPUT FORMAT" prompt="The following formats are accepted:&#10;dd.mm.yy&#10;dd.mm.yyyy&#10;dd/mm/yy&#10;dd/mm/yyyy" sqref="B12:B14"/>
    <dataValidation type="list" allowBlank="1" showInputMessage="1" showErrorMessage="1" sqref="B15">
      <formula1>$D$65:$D$66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8">
      <formula1>$A$65:$A$66</formula1>
    </dataValidation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P71"/>
  <sheetViews>
    <sheetView zoomScale="80" zoomScaleNormal="80" zoomScalePageLayoutView="0" workbookViewId="0" topLeftCell="A4">
      <selection activeCell="J26" sqref="J26"/>
    </sheetView>
  </sheetViews>
  <sheetFormatPr defaultColWidth="22.28125" defaultRowHeight="12.75"/>
  <cols>
    <col min="1" max="2" width="22.28125" style="130" customWidth="1"/>
    <col min="3" max="3" width="15.140625" style="130" bestFit="1" customWidth="1"/>
    <col min="4" max="4" width="16.140625" style="130" bestFit="1" customWidth="1"/>
    <col min="5" max="5" width="15.28125" style="130" bestFit="1" customWidth="1"/>
    <col min="6" max="6" width="12.28125" style="130" bestFit="1" customWidth="1"/>
    <col min="7" max="7" width="18.140625" style="130" bestFit="1" customWidth="1"/>
    <col min="8" max="8" width="22.28125" style="130" customWidth="1"/>
    <col min="9" max="9" width="11.28125" style="130" customWidth="1"/>
    <col min="10" max="10" width="21.00390625" style="130" bestFit="1" customWidth="1"/>
    <col min="11" max="12" width="22.28125" style="130" customWidth="1"/>
    <col min="13" max="13" width="17.8515625" style="130" bestFit="1" customWidth="1"/>
    <col min="14" max="15" width="22.28125" style="130" customWidth="1"/>
    <col min="16" max="16384" width="22.28125" style="13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s="130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s="130" t="s">
        <v>97</v>
      </c>
    </row>
    <row r="3" spans="1:10" ht="12.75">
      <c r="A3" s="7" t="s">
        <v>45</v>
      </c>
      <c r="B3" s="8" t="s">
        <v>30</v>
      </c>
      <c r="C3" s="9" t="s">
        <v>1</v>
      </c>
      <c r="D3" s="10" t="s">
        <v>2</v>
      </c>
      <c r="E3" s="30" t="s">
        <v>3</v>
      </c>
      <c r="F3" s="31">
        <v>44197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182</v>
      </c>
      <c r="C4" s="2" t="s">
        <v>1</v>
      </c>
      <c r="D4" s="3" t="s">
        <v>2</v>
      </c>
      <c r="E4" s="32">
        <v>35</v>
      </c>
      <c r="F4" s="33">
        <v>44197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183</v>
      </c>
      <c r="C5" s="14" t="s">
        <v>1</v>
      </c>
      <c r="D5" s="15" t="s">
        <v>2</v>
      </c>
      <c r="E5" s="34">
        <v>55</v>
      </c>
      <c r="F5" s="35">
        <v>44197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33</v>
      </c>
      <c r="C6" s="9" t="s">
        <v>1</v>
      </c>
      <c r="D6" s="10" t="s">
        <v>2</v>
      </c>
      <c r="E6" s="30" t="s">
        <v>3</v>
      </c>
      <c r="F6" s="31">
        <v>44197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184</v>
      </c>
      <c r="C7" s="2" t="s">
        <v>1</v>
      </c>
      <c r="D7" s="3" t="s">
        <v>2</v>
      </c>
      <c r="E7" s="32">
        <v>45</v>
      </c>
      <c r="F7" s="33">
        <v>44197</v>
      </c>
      <c r="G7" s="17" t="s">
        <v>27</v>
      </c>
    </row>
    <row r="8" spans="1:7" ht="13.5" thickBot="1">
      <c r="A8" s="12" t="s">
        <v>46</v>
      </c>
      <c r="B8" s="13" t="s">
        <v>185</v>
      </c>
      <c r="C8" s="14" t="s">
        <v>1</v>
      </c>
      <c r="D8" s="15" t="s">
        <v>2</v>
      </c>
      <c r="E8" s="34">
        <v>85</v>
      </c>
      <c r="F8" s="35">
        <v>44197</v>
      </c>
      <c r="G8" s="18" t="s">
        <v>27</v>
      </c>
    </row>
    <row r="9" spans="1:7" ht="13.5" thickBot="1">
      <c r="A9" s="7" t="s">
        <v>47</v>
      </c>
      <c r="B9" s="8" t="s">
        <v>186</v>
      </c>
      <c r="C9" s="9" t="s">
        <v>1</v>
      </c>
      <c r="D9" s="10" t="s">
        <v>2</v>
      </c>
      <c r="E9" s="30" t="s">
        <v>3</v>
      </c>
      <c r="F9" s="31">
        <v>44197</v>
      </c>
      <c r="G9" s="16" t="s">
        <v>27</v>
      </c>
    </row>
    <row r="10" spans="1:13" ht="12.75">
      <c r="A10" s="11" t="s">
        <v>47</v>
      </c>
      <c r="B10" s="1" t="s">
        <v>187</v>
      </c>
      <c r="C10" s="2" t="s">
        <v>1</v>
      </c>
      <c r="D10" s="3" t="s">
        <v>2</v>
      </c>
      <c r="E10" s="32">
        <v>75</v>
      </c>
      <c r="F10" s="33">
        <v>44197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188</v>
      </c>
      <c r="C11" s="14" t="s">
        <v>1</v>
      </c>
      <c r="D11" s="15" t="s">
        <v>2</v>
      </c>
      <c r="E11" s="34">
        <v>111</v>
      </c>
      <c r="F11" s="35">
        <v>44197</v>
      </c>
      <c r="G11" s="18" t="s">
        <v>27</v>
      </c>
      <c r="I11" s="131" t="s">
        <v>54</v>
      </c>
      <c r="J11" s="132"/>
      <c r="L11" s="131" t="s">
        <v>112</v>
      </c>
      <c r="M11" s="132">
        <v>110</v>
      </c>
    </row>
    <row r="12" spans="1:11" ht="13.5" thickBot="1">
      <c r="A12" s="7" t="s">
        <v>48</v>
      </c>
      <c r="B12" s="8" t="s">
        <v>189</v>
      </c>
      <c r="C12" s="9" t="s">
        <v>1</v>
      </c>
      <c r="D12" s="10" t="s">
        <v>2</v>
      </c>
      <c r="E12" s="30" t="s">
        <v>3</v>
      </c>
      <c r="F12" s="31">
        <v>44197</v>
      </c>
      <c r="G12" s="16" t="s">
        <v>27</v>
      </c>
      <c r="H12" s="195" t="s">
        <v>145</v>
      </c>
      <c r="I12" s="107" t="s">
        <v>180</v>
      </c>
      <c r="J12" s="148">
        <v>18.75</v>
      </c>
      <c r="K12" s="147" t="s">
        <v>105</v>
      </c>
    </row>
    <row r="13" spans="1:11" ht="13.5" thickBot="1">
      <c r="A13" s="11" t="s">
        <v>48</v>
      </c>
      <c r="B13" s="1" t="s">
        <v>190</v>
      </c>
      <c r="C13" s="2" t="s">
        <v>1</v>
      </c>
      <c r="D13" s="3" t="s">
        <v>2</v>
      </c>
      <c r="E13" s="32">
        <v>111</v>
      </c>
      <c r="F13" s="33">
        <v>44197</v>
      </c>
      <c r="G13" s="17" t="s">
        <v>27</v>
      </c>
      <c r="H13" s="195"/>
      <c r="I13" s="150" t="s">
        <v>181</v>
      </c>
      <c r="J13" s="149">
        <v>37.5</v>
      </c>
      <c r="K13" s="151" t="s">
        <v>105</v>
      </c>
    </row>
    <row r="14" spans="1:11" ht="13.5" thickBot="1">
      <c r="A14" s="12" t="s">
        <v>48</v>
      </c>
      <c r="B14" s="13" t="s">
        <v>191</v>
      </c>
      <c r="C14" s="14" t="s">
        <v>1</v>
      </c>
      <c r="D14" s="15" t="s">
        <v>2</v>
      </c>
      <c r="E14" s="34">
        <v>151</v>
      </c>
      <c r="F14" s="35">
        <v>44197</v>
      </c>
      <c r="G14" s="18" t="s">
        <v>27</v>
      </c>
      <c r="H14" s="195"/>
      <c r="I14" s="107" t="s">
        <v>180</v>
      </c>
      <c r="J14" s="146">
        <f>J12*2</f>
        <v>37.5</v>
      </c>
      <c r="K14" s="152" t="s">
        <v>106</v>
      </c>
    </row>
    <row r="15" spans="1:11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44197</v>
      </c>
      <c r="G15" s="16" t="s">
        <v>27</v>
      </c>
      <c r="H15" s="195"/>
      <c r="I15" s="150" t="s">
        <v>181</v>
      </c>
      <c r="J15" s="149">
        <f>J13*2</f>
        <v>75</v>
      </c>
      <c r="K15" s="151" t="s">
        <v>106</v>
      </c>
    </row>
    <row r="16" spans="1:11" ht="13.5" thickBot="1">
      <c r="A16" s="11" t="s">
        <v>49</v>
      </c>
      <c r="B16" s="1" t="s">
        <v>192</v>
      </c>
      <c r="C16" s="2" t="s">
        <v>1</v>
      </c>
      <c r="D16" s="3" t="s">
        <v>2</v>
      </c>
      <c r="E16" s="32">
        <v>75</v>
      </c>
      <c r="F16" s="33">
        <v>44197</v>
      </c>
      <c r="G16" s="17" t="s">
        <v>27</v>
      </c>
      <c r="H16" s="195" t="s">
        <v>130</v>
      </c>
      <c r="I16" s="107" t="s">
        <v>155</v>
      </c>
      <c r="J16" s="148">
        <v>37.5</v>
      </c>
      <c r="K16" s="147" t="s">
        <v>105</v>
      </c>
    </row>
    <row r="17" spans="1:11" ht="13.5" thickBot="1">
      <c r="A17" s="12" t="s">
        <v>49</v>
      </c>
      <c r="B17" s="13" t="s">
        <v>193</v>
      </c>
      <c r="C17" s="14" t="s">
        <v>1</v>
      </c>
      <c r="D17" s="15" t="s">
        <v>2</v>
      </c>
      <c r="E17" s="34">
        <v>95</v>
      </c>
      <c r="F17" s="35">
        <v>44197</v>
      </c>
      <c r="G17" s="18" t="s">
        <v>27</v>
      </c>
      <c r="H17" s="195"/>
      <c r="I17" s="150" t="s">
        <v>137</v>
      </c>
      <c r="J17" s="149">
        <v>75</v>
      </c>
      <c r="K17" s="151" t="s">
        <v>105</v>
      </c>
    </row>
    <row r="18" spans="1:11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44197</v>
      </c>
      <c r="G18" s="16" t="s">
        <v>27</v>
      </c>
      <c r="H18" s="195"/>
      <c r="I18" s="107" t="s">
        <v>155</v>
      </c>
      <c r="J18" s="146">
        <f>J16*2</f>
        <v>75</v>
      </c>
      <c r="K18" s="147" t="s">
        <v>106</v>
      </c>
    </row>
    <row r="19" spans="1:11" ht="13.5" thickBot="1">
      <c r="A19" s="11" t="s">
        <v>50</v>
      </c>
      <c r="B19" s="1" t="s">
        <v>194</v>
      </c>
      <c r="C19" s="2" t="s">
        <v>1</v>
      </c>
      <c r="D19" s="3" t="s">
        <v>2</v>
      </c>
      <c r="E19" s="32">
        <v>95</v>
      </c>
      <c r="F19" s="33">
        <v>44197</v>
      </c>
      <c r="G19" s="17" t="s">
        <v>27</v>
      </c>
      <c r="H19" s="195"/>
      <c r="I19" s="150" t="s">
        <v>137</v>
      </c>
      <c r="J19" s="149">
        <f>J17*2</f>
        <v>150</v>
      </c>
      <c r="K19" s="151" t="s">
        <v>106</v>
      </c>
    </row>
    <row r="20" spans="1:11" ht="13.5" thickBot="1">
      <c r="A20" s="12" t="s">
        <v>50</v>
      </c>
      <c r="B20" s="13" t="s">
        <v>195</v>
      </c>
      <c r="C20" s="14" t="s">
        <v>1</v>
      </c>
      <c r="D20" s="15" t="s">
        <v>2</v>
      </c>
      <c r="E20" s="34">
        <v>140</v>
      </c>
      <c r="F20" s="35">
        <v>44197</v>
      </c>
      <c r="G20" s="18" t="s">
        <v>27</v>
      </c>
      <c r="H20" s="195" t="s">
        <v>138</v>
      </c>
      <c r="I20" s="107" t="s">
        <v>156</v>
      </c>
      <c r="J20" s="148">
        <v>37.5</v>
      </c>
      <c r="K20" s="152" t="s">
        <v>105</v>
      </c>
    </row>
    <row r="21" spans="1:11" ht="24.75" customHeight="1" thickBot="1">
      <c r="A21" s="192" t="s">
        <v>29</v>
      </c>
      <c r="B21" s="193"/>
      <c r="C21" s="193"/>
      <c r="D21" s="193"/>
      <c r="E21" s="193"/>
      <c r="F21" s="193"/>
      <c r="G21" s="194"/>
      <c r="H21" s="195"/>
      <c r="I21" s="150" t="s">
        <v>157</v>
      </c>
      <c r="J21" s="149">
        <v>75</v>
      </c>
      <c r="K21" s="151" t="s">
        <v>105</v>
      </c>
    </row>
    <row r="22" spans="1:11" ht="13.5" thickBot="1">
      <c r="A22" s="109" t="s">
        <v>45</v>
      </c>
      <c r="B22" s="110" t="s">
        <v>30</v>
      </c>
      <c r="C22" s="111" t="s">
        <v>1</v>
      </c>
      <c r="D22" s="112" t="s">
        <v>2</v>
      </c>
      <c r="E22" s="113" t="s">
        <v>3</v>
      </c>
      <c r="F22" s="114">
        <v>41275</v>
      </c>
      <c r="G22" s="115" t="s">
        <v>27</v>
      </c>
      <c r="H22" s="195"/>
      <c r="I22" s="107" t="s">
        <v>156</v>
      </c>
      <c r="J22" s="146">
        <f>J20*2</f>
        <v>75</v>
      </c>
      <c r="K22" s="147" t="s">
        <v>106</v>
      </c>
    </row>
    <row r="23" spans="1:11" ht="13.5" thickBot="1">
      <c r="A23" s="116" t="s">
        <v>45</v>
      </c>
      <c r="B23" s="117" t="s">
        <v>31</v>
      </c>
      <c r="C23" s="118" t="s">
        <v>1</v>
      </c>
      <c r="D23" s="119" t="s">
        <v>2</v>
      </c>
      <c r="E23" s="120">
        <v>10</v>
      </c>
      <c r="F23" s="121">
        <v>41275</v>
      </c>
      <c r="G23" s="122" t="s">
        <v>27</v>
      </c>
      <c r="H23" s="195"/>
      <c r="I23" s="150" t="s">
        <v>157</v>
      </c>
      <c r="J23" s="149">
        <f>J21*2</f>
        <v>150</v>
      </c>
      <c r="K23" s="151" t="s">
        <v>106</v>
      </c>
    </row>
    <row r="24" spans="1:11" ht="13.5" thickBot="1">
      <c r="A24" s="123" t="s">
        <v>45</v>
      </c>
      <c r="B24" s="124" t="s">
        <v>32</v>
      </c>
      <c r="C24" s="125" t="s">
        <v>1</v>
      </c>
      <c r="D24" s="126" t="s">
        <v>2</v>
      </c>
      <c r="E24" s="127">
        <v>20</v>
      </c>
      <c r="F24" s="128">
        <v>41275</v>
      </c>
      <c r="G24" s="129" t="s">
        <v>27</v>
      </c>
      <c r="H24" s="195" t="s">
        <v>108</v>
      </c>
      <c r="I24" s="107" t="s">
        <v>156</v>
      </c>
      <c r="J24" s="148">
        <v>28.13</v>
      </c>
      <c r="K24" s="152" t="s">
        <v>105</v>
      </c>
    </row>
    <row r="25" spans="1:11" ht="13.5" thickBot="1">
      <c r="A25" s="109" t="s">
        <v>46</v>
      </c>
      <c r="B25" s="110" t="s">
        <v>33</v>
      </c>
      <c r="C25" s="111" t="s">
        <v>1</v>
      </c>
      <c r="D25" s="112" t="s">
        <v>2</v>
      </c>
      <c r="E25" s="113" t="s">
        <v>3</v>
      </c>
      <c r="F25" s="114">
        <v>41275</v>
      </c>
      <c r="G25" s="115" t="s">
        <v>27</v>
      </c>
      <c r="H25" s="195"/>
      <c r="I25" s="150" t="s">
        <v>157</v>
      </c>
      <c r="J25" s="149">
        <v>56.26</v>
      </c>
      <c r="K25" s="151" t="s">
        <v>105</v>
      </c>
    </row>
    <row r="26" spans="1:11" ht="13.5" thickBot="1">
      <c r="A26" s="116" t="s">
        <v>46</v>
      </c>
      <c r="B26" s="117" t="s">
        <v>34</v>
      </c>
      <c r="C26" s="118" t="s">
        <v>1</v>
      </c>
      <c r="D26" s="119" t="s">
        <v>2</v>
      </c>
      <c r="E26" s="120">
        <v>20</v>
      </c>
      <c r="F26" s="121">
        <v>41275</v>
      </c>
      <c r="G26" s="122" t="s">
        <v>27</v>
      </c>
      <c r="H26" s="195"/>
      <c r="I26" s="107" t="s">
        <v>156</v>
      </c>
      <c r="J26" s="146">
        <f>J24*2</f>
        <v>56.26</v>
      </c>
      <c r="K26" s="147" t="s">
        <v>106</v>
      </c>
    </row>
    <row r="27" spans="1:11" ht="13.5" thickBot="1">
      <c r="A27" s="123" t="s">
        <v>46</v>
      </c>
      <c r="B27" s="124" t="s">
        <v>35</v>
      </c>
      <c r="C27" s="125" t="s">
        <v>1</v>
      </c>
      <c r="D27" s="126" t="s">
        <v>2</v>
      </c>
      <c r="E27" s="127">
        <v>30</v>
      </c>
      <c r="F27" s="128">
        <v>41275</v>
      </c>
      <c r="G27" s="129" t="s">
        <v>27</v>
      </c>
      <c r="H27" s="195"/>
      <c r="I27" s="150" t="s">
        <v>157</v>
      </c>
      <c r="J27" s="149">
        <f>J25*2</f>
        <v>112.52</v>
      </c>
      <c r="K27" s="151" t="s">
        <v>106</v>
      </c>
    </row>
    <row r="28" spans="1:7" ht="12.75">
      <c r="A28" s="109" t="s">
        <v>47</v>
      </c>
      <c r="B28" s="110" t="s">
        <v>36</v>
      </c>
      <c r="C28" s="111" t="s">
        <v>1</v>
      </c>
      <c r="D28" s="112" t="s">
        <v>2</v>
      </c>
      <c r="E28" s="113" t="s">
        <v>3</v>
      </c>
      <c r="F28" s="114">
        <v>41275</v>
      </c>
      <c r="G28" s="115" t="s">
        <v>27</v>
      </c>
    </row>
    <row r="29" spans="1:7" ht="12.75">
      <c r="A29" s="116" t="s">
        <v>47</v>
      </c>
      <c r="B29" s="117" t="s">
        <v>37</v>
      </c>
      <c r="C29" s="118" t="s">
        <v>1</v>
      </c>
      <c r="D29" s="119" t="s">
        <v>2</v>
      </c>
      <c r="E29" s="120">
        <v>70</v>
      </c>
      <c r="F29" s="121">
        <v>41275</v>
      </c>
      <c r="G29" s="122" t="s">
        <v>27</v>
      </c>
    </row>
    <row r="30" spans="1:7" ht="13.5" thickBot="1">
      <c r="A30" s="123" t="s">
        <v>47</v>
      </c>
      <c r="B30" s="124" t="s">
        <v>11</v>
      </c>
      <c r="C30" s="125" t="s">
        <v>1</v>
      </c>
      <c r="D30" s="126" t="s">
        <v>2</v>
      </c>
      <c r="E30" s="127">
        <v>90</v>
      </c>
      <c r="F30" s="128">
        <v>41275</v>
      </c>
      <c r="G30" s="129" t="s">
        <v>27</v>
      </c>
    </row>
    <row r="31" spans="1:7" ht="12.75">
      <c r="A31" s="109" t="s">
        <v>48</v>
      </c>
      <c r="B31" s="110" t="s">
        <v>38</v>
      </c>
      <c r="C31" s="111" t="s">
        <v>1</v>
      </c>
      <c r="D31" s="112" t="s">
        <v>2</v>
      </c>
      <c r="E31" s="113" t="s">
        <v>3</v>
      </c>
      <c r="F31" s="114">
        <v>41275</v>
      </c>
      <c r="G31" s="115" t="s">
        <v>27</v>
      </c>
    </row>
    <row r="32" spans="1:7" ht="12.75">
      <c r="A32" s="116" t="s">
        <v>48</v>
      </c>
      <c r="B32" s="117" t="s">
        <v>39</v>
      </c>
      <c r="C32" s="118" t="s">
        <v>1</v>
      </c>
      <c r="D32" s="119" t="s">
        <v>2</v>
      </c>
      <c r="E32" s="120">
        <v>75</v>
      </c>
      <c r="F32" s="121">
        <v>41275</v>
      </c>
      <c r="G32" s="122" t="s">
        <v>27</v>
      </c>
    </row>
    <row r="33" spans="1:7" ht="13.5" thickBot="1">
      <c r="A33" s="123" t="s">
        <v>48</v>
      </c>
      <c r="B33" s="124" t="s">
        <v>14</v>
      </c>
      <c r="C33" s="125" t="s">
        <v>1</v>
      </c>
      <c r="D33" s="126" t="s">
        <v>2</v>
      </c>
      <c r="E33" s="127">
        <v>115</v>
      </c>
      <c r="F33" s="128">
        <v>41275</v>
      </c>
      <c r="G33" s="129" t="s">
        <v>27</v>
      </c>
    </row>
    <row r="34" spans="1:7" ht="12.75">
      <c r="A34" s="109" t="s">
        <v>49</v>
      </c>
      <c r="B34" s="110" t="s">
        <v>40</v>
      </c>
      <c r="C34" s="111" t="s">
        <v>1</v>
      </c>
      <c r="D34" s="112" t="s">
        <v>2</v>
      </c>
      <c r="E34" s="113" t="s">
        <v>3</v>
      </c>
      <c r="F34" s="114">
        <v>41275</v>
      </c>
      <c r="G34" s="115" t="s">
        <v>27</v>
      </c>
    </row>
    <row r="35" spans="1:7" ht="13.5" thickBot="1">
      <c r="A35" s="123" t="s">
        <v>49</v>
      </c>
      <c r="B35" s="124" t="s">
        <v>41</v>
      </c>
      <c r="C35" s="125" t="s">
        <v>1</v>
      </c>
      <c r="D35" s="126" t="s">
        <v>2</v>
      </c>
      <c r="E35" s="127">
        <v>40</v>
      </c>
      <c r="F35" s="128">
        <v>41275</v>
      </c>
      <c r="G35" s="129" t="s">
        <v>27</v>
      </c>
    </row>
    <row r="36" spans="1:7" ht="12.75">
      <c r="A36" s="109" t="s">
        <v>50</v>
      </c>
      <c r="B36" s="110" t="s">
        <v>42</v>
      </c>
      <c r="C36" s="111" t="s">
        <v>1</v>
      </c>
      <c r="D36" s="112" t="s">
        <v>2</v>
      </c>
      <c r="E36" s="113" t="s">
        <v>3</v>
      </c>
      <c r="F36" s="114">
        <v>41275</v>
      </c>
      <c r="G36" s="115" t="s">
        <v>27</v>
      </c>
    </row>
    <row r="37" spans="1:7" ht="13.5" thickBot="1">
      <c r="A37" s="123" t="s">
        <v>50</v>
      </c>
      <c r="B37" s="124" t="s">
        <v>43</v>
      </c>
      <c r="C37" s="125" t="s">
        <v>1</v>
      </c>
      <c r="D37" s="126" t="s">
        <v>2</v>
      </c>
      <c r="E37" s="127">
        <v>70</v>
      </c>
      <c r="F37" s="128">
        <v>41275</v>
      </c>
      <c r="G37" s="129" t="s">
        <v>27</v>
      </c>
    </row>
    <row r="39" ht="12.75">
      <c r="A39" s="139" t="s">
        <v>98</v>
      </c>
    </row>
    <row r="40" spans="1:16" ht="12.75">
      <c r="A40" s="27" t="s">
        <v>61</v>
      </c>
      <c r="B40" s="136" t="s">
        <v>62</v>
      </c>
      <c r="C40" s="136" t="s">
        <v>63</v>
      </c>
      <c r="D40" s="136" t="s">
        <v>64</v>
      </c>
      <c r="E40" s="136" t="s">
        <v>65</v>
      </c>
      <c r="F40" s="136" t="s">
        <v>67</v>
      </c>
      <c r="G40" s="136" t="s">
        <v>68</v>
      </c>
      <c r="H40" s="136" t="s">
        <v>66</v>
      </c>
      <c r="I40" s="136" t="s">
        <v>75</v>
      </c>
      <c r="J40" s="136" t="s">
        <v>77</v>
      </c>
      <c r="K40" s="136" t="s">
        <v>78</v>
      </c>
      <c r="L40" s="37" t="s">
        <v>79</v>
      </c>
      <c r="M40" s="138" t="s">
        <v>80</v>
      </c>
      <c r="N40" s="138" t="s">
        <v>76</v>
      </c>
      <c r="O40" s="138" t="s">
        <v>82</v>
      </c>
      <c r="P40" s="138" t="s">
        <v>81</v>
      </c>
    </row>
    <row r="41" spans="1:16" ht="34.5" thickBot="1">
      <c r="A41" s="25" t="s">
        <v>55</v>
      </c>
      <c r="B41" s="26">
        <f>calculator_eurwhs!$C$14</f>
        <v>25</v>
      </c>
      <c r="C41" s="26">
        <f aca="true" t="shared" si="0" ref="C41:C52">B41-I41</f>
        <v>15</v>
      </c>
      <c r="D41" s="26">
        <f aca="true" t="shared" si="1" ref="D41:D46">C41-7</f>
        <v>8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685</v>
      </c>
      <c r="H41" s="26">
        <f aca="true" t="shared" si="3" ref="H41:H52">F41+G41</f>
        <v>685</v>
      </c>
      <c r="I41" s="134">
        <v>10</v>
      </c>
      <c r="J41" s="137">
        <f>calculator_eurwhs!$B$12+database_eurwhs!I41-1</f>
        <v>44571</v>
      </c>
      <c r="K41" s="137">
        <f>IF(E41=0,database_eurwhs!J41+database_eurwhs!C41,database_eurwhs!J41+database_eurwhs!E41)</f>
        <v>44578</v>
      </c>
      <c r="L41" s="134">
        <f>IF(F41=0,M41,F41)</f>
        <v>245</v>
      </c>
      <c r="M41" s="134">
        <f>E4*7</f>
        <v>245</v>
      </c>
      <c r="N41" s="134">
        <f>IF(G41=0,G41,G41-M41)</f>
        <v>440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134">
        <f>calculator_eurwhs!$C$14</f>
        <v>25</v>
      </c>
      <c r="C42" s="134">
        <f t="shared" si="0"/>
        <v>15</v>
      </c>
      <c r="D42" s="134">
        <f t="shared" si="1"/>
        <v>8</v>
      </c>
      <c r="E42" s="134">
        <f t="shared" si="2"/>
        <v>7</v>
      </c>
      <c r="F42" s="134">
        <f>IF(D42&lt;=0,C42*E7,0)</f>
        <v>0</v>
      </c>
      <c r="G42" s="134">
        <f>IF(D42&gt;=1,D42*E8+M42,0)</f>
        <v>995</v>
      </c>
      <c r="H42" s="134">
        <f t="shared" si="3"/>
        <v>995</v>
      </c>
      <c r="I42" s="134">
        <v>10</v>
      </c>
      <c r="J42" s="137">
        <f>calculator_eurwhs!$B$12+database_eurwhs!I42-1</f>
        <v>44571</v>
      </c>
      <c r="K42" s="137">
        <f>IF(E42=0,database_eurwhs!J42+database_eurwhs!C42,database_eurwhs!J42+database_eurwhs!E42)</f>
        <v>44578</v>
      </c>
      <c r="L42" s="134">
        <f aca="true" t="shared" si="4" ref="L42:L50">IF(F42=0,M42,F42)</f>
        <v>315</v>
      </c>
      <c r="M42" s="134">
        <f>E7*7</f>
        <v>315</v>
      </c>
      <c r="N42" s="134">
        <f aca="true" t="shared" si="5" ref="N42:N50">IF(G42=0,G42,G42-M42)</f>
        <v>680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134">
        <f>calculator_eurwhs!$C$14</f>
        <v>25</v>
      </c>
      <c r="C43" s="134">
        <f t="shared" si="0"/>
        <v>18</v>
      </c>
      <c r="D43" s="134">
        <f t="shared" si="1"/>
        <v>11</v>
      </c>
      <c r="E43" s="134">
        <f t="shared" si="2"/>
        <v>7</v>
      </c>
      <c r="F43" s="134">
        <f>IF(D43&lt;=0,C43*E10,0)</f>
        <v>0</v>
      </c>
      <c r="G43" s="134">
        <f>IF(D43&gt;=1,D43*E11+M43,0)</f>
        <v>1746</v>
      </c>
      <c r="H43" s="134">
        <f t="shared" si="3"/>
        <v>1746</v>
      </c>
      <c r="I43" s="134">
        <v>7</v>
      </c>
      <c r="J43" s="137">
        <f>calculator_eurwhs!$B$12+database_eurwhs!I43-1</f>
        <v>44568</v>
      </c>
      <c r="K43" s="137">
        <f>IF(E43=0,database_eurwhs!J43+database_eurwhs!C43,database_eurwhs!J43+database_eurwhs!E43)</f>
        <v>44575</v>
      </c>
      <c r="L43" s="134">
        <f t="shared" si="4"/>
        <v>525</v>
      </c>
      <c r="M43" s="134">
        <f>E10*7</f>
        <v>525</v>
      </c>
      <c r="N43" s="134">
        <f t="shared" si="5"/>
        <v>1221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134">
        <f>calculator_eurwhs!$C$14</f>
        <v>25</v>
      </c>
      <c r="C44" s="134">
        <f t="shared" si="0"/>
        <v>18</v>
      </c>
      <c r="D44" s="134">
        <f t="shared" si="1"/>
        <v>11</v>
      </c>
      <c r="E44" s="134">
        <f t="shared" si="2"/>
        <v>7</v>
      </c>
      <c r="F44" s="134">
        <f>IF(D44&lt;=0,C44*E13,0)</f>
        <v>0</v>
      </c>
      <c r="G44" s="134">
        <f>IF(D44&gt;=1,D44*E14+M44,0)</f>
        <v>2438</v>
      </c>
      <c r="H44" s="134">
        <f t="shared" si="3"/>
        <v>2438</v>
      </c>
      <c r="I44" s="134">
        <v>7</v>
      </c>
      <c r="J44" s="137">
        <f>calculator_eurwhs!$B$12+database_eurwhs!I44-1</f>
        <v>44568</v>
      </c>
      <c r="K44" s="137">
        <f>IF(E44=0,database_eurwhs!J44+database_eurwhs!C44,database_eurwhs!J44+database_eurwhs!E44)</f>
        <v>44575</v>
      </c>
      <c r="L44" s="134">
        <f t="shared" si="4"/>
        <v>777</v>
      </c>
      <c r="M44" s="134">
        <f>E13*7</f>
        <v>777</v>
      </c>
      <c r="N44" s="134">
        <f t="shared" si="5"/>
        <v>1661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134">
        <f>calculator_eurwhs!$C$14</f>
        <v>25</v>
      </c>
      <c r="C45" s="134">
        <f t="shared" si="0"/>
        <v>18</v>
      </c>
      <c r="D45" s="134">
        <f t="shared" si="1"/>
        <v>11</v>
      </c>
      <c r="E45" s="134">
        <f t="shared" si="2"/>
        <v>7</v>
      </c>
      <c r="F45" s="134">
        <f>IF(D45&lt;=0,C45*E16,0)</f>
        <v>0</v>
      </c>
      <c r="G45" s="134">
        <f>IF(D45&gt;=1,D45*E17+M45,0)</f>
        <v>1570</v>
      </c>
      <c r="H45" s="134">
        <f t="shared" si="3"/>
        <v>1570</v>
      </c>
      <c r="I45" s="134">
        <v>7</v>
      </c>
      <c r="J45" s="137">
        <f>calculator_eurwhs!$B$12+database_eurwhs!I45-1</f>
        <v>44568</v>
      </c>
      <c r="K45" s="137">
        <f>IF(E45=0,database_eurwhs!J45+database_eurwhs!C45,database_eurwhs!J45+database_eurwhs!E45)</f>
        <v>44575</v>
      </c>
      <c r="L45" s="134">
        <f t="shared" si="4"/>
        <v>525</v>
      </c>
      <c r="M45" s="134">
        <f>E16*7</f>
        <v>525</v>
      </c>
      <c r="N45" s="134">
        <f t="shared" si="5"/>
        <v>1045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134">
        <f>calculator_eurwhs!$C$14</f>
        <v>25</v>
      </c>
      <c r="C46" s="134">
        <f t="shared" si="0"/>
        <v>18</v>
      </c>
      <c r="D46" s="134">
        <f t="shared" si="1"/>
        <v>11</v>
      </c>
      <c r="E46" s="134">
        <f t="shared" si="2"/>
        <v>7</v>
      </c>
      <c r="F46" s="134">
        <f>IF(D46&lt;=0,C46*E19,0)</f>
        <v>0</v>
      </c>
      <c r="G46" s="134">
        <f>IF(D46&gt;=1,D46*E20+M46,0)</f>
        <v>2205</v>
      </c>
      <c r="H46" s="134">
        <f t="shared" si="3"/>
        <v>2205</v>
      </c>
      <c r="I46" s="134">
        <v>7</v>
      </c>
      <c r="J46" s="137">
        <f>calculator_eurwhs!$B$12+database_eurwhs!I46-1</f>
        <v>44568</v>
      </c>
      <c r="K46" s="137">
        <f>IF(E46=0,database_eurwhs!J46+database_eurwhs!C46,database_eurwhs!J46+database_eurwhs!E46)</f>
        <v>44575</v>
      </c>
      <c r="L46" s="134">
        <f t="shared" si="4"/>
        <v>665</v>
      </c>
      <c r="M46" s="134">
        <f>E19*7</f>
        <v>665</v>
      </c>
      <c r="N46" s="134">
        <f t="shared" si="5"/>
        <v>1540</v>
      </c>
      <c r="O46" s="39">
        <f>E19</f>
        <v>95</v>
      </c>
      <c r="P46" s="39">
        <f>E20</f>
        <v>140</v>
      </c>
    </row>
    <row r="47" spans="1:16" s="94" customFormat="1" ht="56.25" hidden="1">
      <c r="A47" s="95" t="s">
        <v>69</v>
      </c>
      <c r="B47" s="96">
        <f>calculator_eurwhs!$C$14</f>
        <v>25</v>
      </c>
      <c r="C47" s="96">
        <f t="shared" si="0"/>
        <v>15</v>
      </c>
      <c r="D47" s="96">
        <f>C47-15</f>
        <v>0</v>
      </c>
      <c r="E47" s="96">
        <f t="shared" si="2"/>
        <v>15</v>
      </c>
      <c r="F47" s="96">
        <f>IF(D47&lt;=0,C47*E23,0)</f>
        <v>150</v>
      </c>
      <c r="G47" s="96">
        <f>IF(D47&gt;=1,D47*E24+M47,0)</f>
        <v>0</v>
      </c>
      <c r="H47" s="96">
        <f t="shared" si="3"/>
        <v>150</v>
      </c>
      <c r="I47" s="96">
        <v>10</v>
      </c>
      <c r="J47" s="97">
        <f>calculator_eurwhs!$B$12+database_eurwhs!I47-1</f>
        <v>44571</v>
      </c>
      <c r="K47" s="97">
        <f>IF(E47=0,database_eurwhs!J47+database_eurwhs!C47,database_eurwhs!J47+database_eurwhs!E47)</f>
        <v>44586</v>
      </c>
      <c r="L47" s="96">
        <f t="shared" si="4"/>
        <v>150</v>
      </c>
      <c r="M47" s="96">
        <f>E23*15</f>
        <v>150</v>
      </c>
      <c r="N47" s="96">
        <f t="shared" si="5"/>
        <v>0</v>
      </c>
      <c r="O47" s="98">
        <f>E23</f>
        <v>10</v>
      </c>
      <c r="P47" s="98">
        <f>E24</f>
        <v>20</v>
      </c>
    </row>
    <row r="48" spans="1:16" s="94" customFormat="1" ht="56.25" hidden="1">
      <c r="A48" s="99" t="s">
        <v>70</v>
      </c>
      <c r="B48" s="96">
        <f>calculator_eurwhs!$C$14</f>
        <v>25</v>
      </c>
      <c r="C48" s="96">
        <f t="shared" si="0"/>
        <v>15</v>
      </c>
      <c r="D48" s="96">
        <f>C48-15</f>
        <v>0</v>
      </c>
      <c r="E48" s="96">
        <f t="shared" si="2"/>
        <v>15</v>
      </c>
      <c r="F48" s="96">
        <f>IF(D48&lt;=0,C48*E26,0)</f>
        <v>300</v>
      </c>
      <c r="G48" s="96">
        <f>IF(D48&gt;=1,D48*E27+M48,0)</f>
        <v>0</v>
      </c>
      <c r="H48" s="96">
        <f t="shared" si="3"/>
        <v>300</v>
      </c>
      <c r="I48" s="96">
        <v>10</v>
      </c>
      <c r="J48" s="97">
        <f>calculator_eurwhs!$B$12+database_eurwhs!I48-1</f>
        <v>44571</v>
      </c>
      <c r="K48" s="97">
        <f>IF(E48=0,database_eurwhs!J48+database_eurwhs!C48,database_eurwhs!J48+database_eurwhs!E48)</f>
        <v>44586</v>
      </c>
      <c r="L48" s="96">
        <f t="shared" si="4"/>
        <v>300</v>
      </c>
      <c r="M48" s="96">
        <f>E26*15</f>
        <v>300</v>
      </c>
      <c r="N48" s="96">
        <f t="shared" si="5"/>
        <v>0</v>
      </c>
      <c r="O48" s="98">
        <f>E26</f>
        <v>20</v>
      </c>
      <c r="P48" s="98">
        <f>E27</f>
        <v>30</v>
      </c>
    </row>
    <row r="49" spans="1:16" s="94" customFormat="1" ht="56.25" hidden="1">
      <c r="A49" s="99" t="s">
        <v>71</v>
      </c>
      <c r="B49" s="100">
        <f>calculator_eurwhs!$C$14</f>
        <v>25</v>
      </c>
      <c r="C49" s="100">
        <f t="shared" si="0"/>
        <v>20</v>
      </c>
      <c r="D49" s="100">
        <f>C49-5</f>
        <v>15</v>
      </c>
      <c r="E49" s="100">
        <f t="shared" si="2"/>
        <v>5</v>
      </c>
      <c r="F49" s="100">
        <f>IF(D49&lt;=0,C49*E29,0)</f>
        <v>0</v>
      </c>
      <c r="G49" s="100">
        <f>IF(D49&gt;=1,D49*E30+M49,0)</f>
        <v>1700</v>
      </c>
      <c r="H49" s="100">
        <f t="shared" si="3"/>
        <v>1700</v>
      </c>
      <c r="I49" s="96">
        <v>5</v>
      </c>
      <c r="J49" s="97">
        <f>calculator_eurwhs!$B$12+database_eurwhs!I49-1</f>
        <v>44566</v>
      </c>
      <c r="K49" s="97">
        <f>IF(E49=0,database_eurwhs!J49+database_eurwhs!C49,database_eurwhs!J49+database_eurwhs!E49)</f>
        <v>44571</v>
      </c>
      <c r="L49" s="96">
        <f t="shared" si="4"/>
        <v>350</v>
      </c>
      <c r="M49" s="96">
        <f>E29*5</f>
        <v>350</v>
      </c>
      <c r="N49" s="96">
        <f t="shared" si="5"/>
        <v>1350</v>
      </c>
      <c r="O49" s="98">
        <f>E29</f>
        <v>70</v>
      </c>
      <c r="P49" s="98">
        <f>E30</f>
        <v>90</v>
      </c>
    </row>
    <row r="50" spans="1:16" s="94" customFormat="1" ht="56.25" hidden="1">
      <c r="A50" s="99" t="s">
        <v>72</v>
      </c>
      <c r="B50" s="100">
        <f>calculator_eurwhs!$C$14</f>
        <v>25</v>
      </c>
      <c r="C50" s="100">
        <f t="shared" si="0"/>
        <v>20</v>
      </c>
      <c r="D50" s="100">
        <f>C50-5</f>
        <v>15</v>
      </c>
      <c r="E50" s="100">
        <f t="shared" si="2"/>
        <v>5</v>
      </c>
      <c r="F50" s="100">
        <f>IF(D50&lt;=0,C50*E32,0)</f>
        <v>0</v>
      </c>
      <c r="G50" s="100">
        <f>IF(D50&gt;=1,D50*E33+M50,0)</f>
        <v>2100</v>
      </c>
      <c r="H50" s="100">
        <f t="shared" si="3"/>
        <v>2100</v>
      </c>
      <c r="I50" s="96">
        <v>5</v>
      </c>
      <c r="J50" s="97">
        <f>calculator_eurwhs!$B$12+database_eurwhs!I50-1</f>
        <v>44566</v>
      </c>
      <c r="K50" s="97">
        <f>IF(E50=0,database_eurwhs!J50+database_eurwhs!C50,database_eurwhs!J50+database_eurwhs!E50)</f>
        <v>44571</v>
      </c>
      <c r="L50" s="96">
        <f t="shared" si="4"/>
        <v>375</v>
      </c>
      <c r="M50" s="96">
        <f>E32*5</f>
        <v>375</v>
      </c>
      <c r="N50" s="96">
        <f t="shared" si="5"/>
        <v>1725</v>
      </c>
      <c r="O50" s="98">
        <f>E32</f>
        <v>75</v>
      </c>
      <c r="P50" s="98">
        <f>E33</f>
        <v>115</v>
      </c>
    </row>
    <row r="51" spans="1:16" s="94" customFormat="1" ht="56.25" hidden="1">
      <c r="A51" s="99" t="s">
        <v>73</v>
      </c>
      <c r="B51" s="100">
        <f>calculator_eurwhs!$C$14</f>
        <v>25</v>
      </c>
      <c r="C51" s="100">
        <f t="shared" si="0"/>
        <v>15</v>
      </c>
      <c r="D51" s="101"/>
      <c r="E51" s="100">
        <f t="shared" si="2"/>
        <v>15</v>
      </c>
      <c r="F51" s="100">
        <f>IF(D51&lt;=0,C51*E35,0)</f>
        <v>600</v>
      </c>
      <c r="G51" s="101"/>
      <c r="H51" s="100">
        <f t="shared" si="3"/>
        <v>600</v>
      </c>
      <c r="I51" s="96">
        <v>10</v>
      </c>
      <c r="J51" s="97">
        <f>calculator_eurwhs!$B$12+database_eurwhs!I51-1</f>
        <v>44571</v>
      </c>
      <c r="K51" s="97">
        <f>IF(E51=0,database_eurwhs!J51+database_eurwhs!C51,database_eurwhs!J51+database_eurwhs!E51)</f>
        <v>44586</v>
      </c>
      <c r="L51" s="96">
        <f>H51</f>
        <v>600</v>
      </c>
      <c r="M51" s="96"/>
      <c r="N51" s="102"/>
      <c r="O51" s="98">
        <f>E35</f>
        <v>40</v>
      </c>
      <c r="P51" s="102"/>
    </row>
    <row r="52" spans="1:16" s="94" customFormat="1" ht="56.25" hidden="1">
      <c r="A52" s="99" t="s">
        <v>74</v>
      </c>
      <c r="B52" s="100">
        <f>calculator_eurwhs!$C$14</f>
        <v>25</v>
      </c>
      <c r="C52" s="100">
        <f t="shared" si="0"/>
        <v>15</v>
      </c>
      <c r="D52" s="101"/>
      <c r="E52" s="100">
        <f t="shared" si="2"/>
        <v>15</v>
      </c>
      <c r="F52" s="100">
        <f>IF(D52&lt;=0,C52*E37,0)</f>
        <v>1050</v>
      </c>
      <c r="G52" s="101"/>
      <c r="H52" s="100">
        <f t="shared" si="3"/>
        <v>1050</v>
      </c>
      <c r="I52" s="96">
        <v>10</v>
      </c>
      <c r="J52" s="97">
        <f>calculator_eurwhs!$B$12+database_eurwhs!I52-1</f>
        <v>44571</v>
      </c>
      <c r="K52" s="97">
        <f>IF(E52=0,database_eurwhs!J52+database_eurwhs!C52,database_eurwhs!J52+database_eurwhs!E52)</f>
        <v>44586</v>
      </c>
      <c r="L52" s="96">
        <f>H52</f>
        <v>1050</v>
      </c>
      <c r="M52" s="96"/>
      <c r="N52" s="102"/>
      <c r="O52" s="98">
        <f>E37</f>
        <v>70</v>
      </c>
      <c r="P52" s="102"/>
    </row>
    <row r="54" ht="12.75">
      <c r="B54" s="64"/>
    </row>
    <row r="55" ht="12.75">
      <c r="A55" s="139" t="s">
        <v>93</v>
      </c>
    </row>
    <row r="56" spans="1:16" ht="12.75">
      <c r="A56" s="23" t="s">
        <v>118</v>
      </c>
      <c r="B56" s="134">
        <f>calculator_eurwhs!$C$13</f>
        <v>11</v>
      </c>
      <c r="C56" s="134">
        <f aca="true" t="shared" si="6" ref="C56:C67">B56-I56</f>
        <v>0</v>
      </c>
      <c r="D56" s="133">
        <f>C56-8</f>
        <v>-8</v>
      </c>
      <c r="E56" s="134">
        <f aca="true" t="shared" si="7" ref="E56:E67">IF(D56&gt;=0,C56-D56,0)</f>
        <v>0</v>
      </c>
      <c r="F56" s="134">
        <f aca="true" t="shared" si="8" ref="F56:F67">IF(D56&lt;=0,C56*O56,0)</f>
        <v>0</v>
      </c>
      <c r="G56" s="134">
        <f aca="true" t="shared" si="9" ref="G56:G67">IF(D56&gt;=1,D56*P56+M56,0)</f>
        <v>0</v>
      </c>
      <c r="H56" s="134">
        <f aca="true" t="shared" si="10" ref="H56:H67">F56+G56</f>
        <v>0</v>
      </c>
      <c r="I56" s="133">
        <v>11</v>
      </c>
      <c r="J56" s="141">
        <f>calculator_eurwhs!$B$13+database_eurwhs!I56-1</f>
        <v>44586</v>
      </c>
      <c r="K56" s="137">
        <f>IF(E56=0,database_eurwhs!J56+database_eurwhs!C56,database_eurwhs!J56+database_eurwhs!E56)</f>
        <v>44586</v>
      </c>
      <c r="L56" s="134">
        <f aca="true" t="shared" si="11" ref="L56:L67">IF(F56=0,M56,F56)</f>
        <v>93.75</v>
      </c>
      <c r="M56" s="134">
        <f>O56*5</f>
        <v>93.75</v>
      </c>
      <c r="N56" s="134">
        <f aca="true" t="shared" si="12" ref="N56:N67">IF(G56=0,G56,G56-M56)</f>
        <v>0</v>
      </c>
      <c r="O56" s="134">
        <f>$J$12</f>
        <v>18.75</v>
      </c>
      <c r="P56" s="134">
        <f>$J$13</f>
        <v>37.5</v>
      </c>
    </row>
    <row r="57" spans="1:16" ht="12.75">
      <c r="A57" s="23" t="s">
        <v>124</v>
      </c>
      <c r="B57" s="134">
        <f>calculator_eurwhs!$C$13</f>
        <v>11</v>
      </c>
      <c r="C57" s="134">
        <f t="shared" si="6"/>
        <v>9</v>
      </c>
      <c r="D57" s="133">
        <f aca="true" t="shared" si="13" ref="D57:D67">C57-8</f>
        <v>1</v>
      </c>
      <c r="E57" s="134">
        <f t="shared" si="7"/>
        <v>8</v>
      </c>
      <c r="F57" s="134">
        <f t="shared" si="8"/>
        <v>0</v>
      </c>
      <c r="G57" s="134">
        <f t="shared" si="9"/>
        <v>225</v>
      </c>
      <c r="H57" s="134">
        <f t="shared" si="10"/>
        <v>225</v>
      </c>
      <c r="I57" s="133">
        <v>2</v>
      </c>
      <c r="J57" s="141">
        <f>calculator_eurwhs!$B$13+database_eurwhs!I57-1</f>
        <v>44577</v>
      </c>
      <c r="K57" s="137">
        <f>IF(E57=0,database_eurwhs!J57+database_eurwhs!C57,database_eurwhs!J57+database_eurwhs!E57)</f>
        <v>44585</v>
      </c>
      <c r="L57" s="134">
        <f t="shared" si="11"/>
        <v>150</v>
      </c>
      <c r="M57" s="134">
        <f>O57*4</f>
        <v>150</v>
      </c>
      <c r="N57" s="134">
        <f t="shared" si="12"/>
        <v>75</v>
      </c>
      <c r="O57" s="134">
        <f>$J$16</f>
        <v>37.5</v>
      </c>
      <c r="P57" s="134">
        <f>$J$17</f>
        <v>75</v>
      </c>
    </row>
    <row r="58" spans="1:16" ht="12.75">
      <c r="A58" s="23" t="s">
        <v>119</v>
      </c>
      <c r="B58" s="134">
        <f>calculator_eurwhs!$C$13</f>
        <v>11</v>
      </c>
      <c r="C58" s="134">
        <f t="shared" si="6"/>
        <v>0</v>
      </c>
      <c r="D58" s="133">
        <f t="shared" si="13"/>
        <v>-8</v>
      </c>
      <c r="E58" s="134">
        <f t="shared" si="7"/>
        <v>0</v>
      </c>
      <c r="F58" s="134">
        <f t="shared" si="8"/>
        <v>0</v>
      </c>
      <c r="G58" s="134">
        <f t="shared" si="9"/>
        <v>0</v>
      </c>
      <c r="H58" s="134">
        <f t="shared" si="10"/>
        <v>0</v>
      </c>
      <c r="I58" s="133">
        <v>11</v>
      </c>
      <c r="J58" s="141">
        <f>calculator_eurwhs!$B$13+database_eurwhs!I58-1</f>
        <v>44586</v>
      </c>
      <c r="K58" s="137">
        <f>IF(E58=0,database_eurwhs!J58+database_eurwhs!C58,database_eurwhs!J58+database_eurwhs!E58)</f>
        <v>44586</v>
      </c>
      <c r="L58" s="134">
        <f t="shared" si="11"/>
        <v>187.5</v>
      </c>
      <c r="M58" s="134">
        <f aca="true" t="shared" si="14" ref="M58:M66">O58*5</f>
        <v>187.5</v>
      </c>
      <c r="N58" s="134">
        <f t="shared" si="12"/>
        <v>0</v>
      </c>
      <c r="O58" s="134">
        <f>$J$14</f>
        <v>37.5</v>
      </c>
      <c r="P58" s="134">
        <f>$J$15</f>
        <v>75</v>
      </c>
    </row>
    <row r="59" spans="1:16" ht="12.75">
      <c r="A59" s="23" t="s">
        <v>125</v>
      </c>
      <c r="B59" s="134">
        <f>calculator_eurwhs!$C$13</f>
        <v>11</v>
      </c>
      <c r="C59" s="134">
        <f t="shared" si="6"/>
        <v>9</v>
      </c>
      <c r="D59" s="133">
        <f t="shared" si="13"/>
        <v>1</v>
      </c>
      <c r="E59" s="134">
        <f t="shared" si="7"/>
        <v>8</v>
      </c>
      <c r="F59" s="134">
        <f t="shared" si="8"/>
        <v>0</v>
      </c>
      <c r="G59" s="134">
        <f t="shared" si="9"/>
        <v>450</v>
      </c>
      <c r="H59" s="134">
        <f t="shared" si="10"/>
        <v>450</v>
      </c>
      <c r="I59" s="133">
        <v>2</v>
      </c>
      <c r="J59" s="141">
        <f>calculator_eurwhs!$B$13+database_eurwhs!I59-1</f>
        <v>44577</v>
      </c>
      <c r="K59" s="137">
        <f>IF(E59=0,database_eurwhs!J59+database_eurwhs!C59,database_eurwhs!J59+database_eurwhs!E59)</f>
        <v>44585</v>
      </c>
      <c r="L59" s="134">
        <f t="shared" si="11"/>
        <v>300</v>
      </c>
      <c r="M59" s="134">
        <f>O59*4</f>
        <v>300</v>
      </c>
      <c r="N59" s="134">
        <f t="shared" si="12"/>
        <v>150</v>
      </c>
      <c r="O59" s="134">
        <f>$J$18</f>
        <v>75</v>
      </c>
      <c r="P59" s="134">
        <f>$J$19</f>
        <v>150</v>
      </c>
    </row>
    <row r="60" spans="1:16" s="108" customFormat="1" ht="12.75">
      <c r="A60" s="23" t="s">
        <v>120</v>
      </c>
      <c r="B60" s="143">
        <f>calculator_eurwhs!$C$13</f>
        <v>11</v>
      </c>
      <c r="C60" s="143">
        <f t="shared" si="6"/>
        <v>7</v>
      </c>
      <c r="D60" s="140">
        <f t="shared" si="13"/>
        <v>-1</v>
      </c>
      <c r="E60" s="143">
        <f t="shared" si="7"/>
        <v>0</v>
      </c>
      <c r="F60" s="143">
        <f t="shared" si="8"/>
        <v>196.91</v>
      </c>
      <c r="G60" s="143">
        <f t="shared" si="9"/>
        <v>0</v>
      </c>
      <c r="H60" s="143">
        <f t="shared" si="10"/>
        <v>196.91</v>
      </c>
      <c r="I60" s="140">
        <v>4</v>
      </c>
      <c r="J60" s="144">
        <f>calculator_eurwhs!$B$13+database_eurwhs!I60-1</f>
        <v>44579</v>
      </c>
      <c r="K60" s="145">
        <f>IF(E60=0,database_eurwhs!J60+database_eurwhs!C60,database_eurwhs!J60+database_eurwhs!E60)</f>
        <v>44586</v>
      </c>
      <c r="L60" s="143">
        <f t="shared" si="11"/>
        <v>196.91</v>
      </c>
      <c r="M60" s="143">
        <f t="shared" si="14"/>
        <v>140.65</v>
      </c>
      <c r="N60" s="143">
        <f t="shared" si="12"/>
        <v>0</v>
      </c>
      <c r="O60" s="143">
        <f>$J$24</f>
        <v>28.13</v>
      </c>
      <c r="P60" s="143">
        <f>$J$25</f>
        <v>56.26</v>
      </c>
    </row>
    <row r="61" spans="1:16" s="108" customFormat="1" ht="12.75">
      <c r="A61" s="23" t="s">
        <v>126</v>
      </c>
      <c r="B61" s="143">
        <f>calculator_eurwhs!$C$13</f>
        <v>11</v>
      </c>
      <c r="C61" s="143">
        <f t="shared" si="6"/>
        <v>9</v>
      </c>
      <c r="D61" s="140">
        <f t="shared" si="13"/>
        <v>1</v>
      </c>
      <c r="E61" s="143">
        <f t="shared" si="7"/>
        <v>8</v>
      </c>
      <c r="F61" s="143">
        <f t="shared" si="8"/>
        <v>0</v>
      </c>
      <c r="G61" s="143">
        <f t="shared" si="9"/>
        <v>225</v>
      </c>
      <c r="H61" s="143">
        <f t="shared" si="10"/>
        <v>225</v>
      </c>
      <c r="I61" s="140">
        <v>2</v>
      </c>
      <c r="J61" s="144">
        <f>calculator_eurwhs!$B$13+database_eurwhs!I61-1</f>
        <v>44577</v>
      </c>
      <c r="K61" s="145">
        <f>IF(E61=0,database_eurwhs!J61+database_eurwhs!C61,database_eurwhs!J61+database_eurwhs!E61)</f>
        <v>44585</v>
      </c>
      <c r="L61" s="143">
        <f t="shared" si="11"/>
        <v>150</v>
      </c>
      <c r="M61" s="143">
        <f>O61*4</f>
        <v>150</v>
      </c>
      <c r="N61" s="143">
        <f t="shared" si="12"/>
        <v>75</v>
      </c>
      <c r="O61" s="143">
        <f>$J$16</f>
        <v>37.5</v>
      </c>
      <c r="P61" s="143">
        <f>$J$17</f>
        <v>75</v>
      </c>
    </row>
    <row r="62" spans="1:16" s="108" customFormat="1" ht="12.75">
      <c r="A62" s="23" t="s">
        <v>121</v>
      </c>
      <c r="B62" s="143">
        <f>calculator_eurwhs!$C$13</f>
        <v>11</v>
      </c>
      <c r="C62" s="143">
        <f t="shared" si="6"/>
        <v>7</v>
      </c>
      <c r="D62" s="140">
        <f t="shared" si="13"/>
        <v>-1</v>
      </c>
      <c r="E62" s="143">
        <f t="shared" si="7"/>
        <v>0</v>
      </c>
      <c r="F62" s="143">
        <f t="shared" si="8"/>
        <v>393.82</v>
      </c>
      <c r="G62" s="143">
        <f t="shared" si="9"/>
        <v>0</v>
      </c>
      <c r="H62" s="143">
        <f t="shared" si="10"/>
        <v>393.82</v>
      </c>
      <c r="I62" s="140">
        <v>4</v>
      </c>
      <c r="J62" s="144">
        <f>calculator_eurwhs!$B$13+database_eurwhs!I62-1</f>
        <v>44579</v>
      </c>
      <c r="K62" s="145">
        <f>IF(E62=0,database_eurwhs!J62+database_eurwhs!C62,database_eurwhs!J62+database_eurwhs!E62)</f>
        <v>44586</v>
      </c>
      <c r="L62" s="143">
        <f t="shared" si="11"/>
        <v>393.82</v>
      </c>
      <c r="M62" s="143">
        <f t="shared" si="14"/>
        <v>281.3</v>
      </c>
      <c r="N62" s="143">
        <f t="shared" si="12"/>
        <v>0</v>
      </c>
      <c r="O62" s="143">
        <f>$J$26</f>
        <v>56.26</v>
      </c>
      <c r="P62" s="143">
        <f>$J$27</f>
        <v>112.52</v>
      </c>
    </row>
    <row r="63" spans="1:16" s="108" customFormat="1" ht="12.75">
      <c r="A63" s="23" t="s">
        <v>127</v>
      </c>
      <c r="B63" s="143">
        <f>calculator_eurwhs!$C$13</f>
        <v>11</v>
      </c>
      <c r="C63" s="143">
        <f t="shared" si="6"/>
        <v>9</v>
      </c>
      <c r="D63" s="140">
        <f t="shared" si="13"/>
        <v>1</v>
      </c>
      <c r="E63" s="143">
        <f t="shared" si="7"/>
        <v>8</v>
      </c>
      <c r="F63" s="143">
        <f t="shared" si="8"/>
        <v>0</v>
      </c>
      <c r="G63" s="143">
        <f t="shared" si="9"/>
        <v>450</v>
      </c>
      <c r="H63" s="143">
        <f t="shared" si="10"/>
        <v>450</v>
      </c>
      <c r="I63" s="140">
        <v>2</v>
      </c>
      <c r="J63" s="144">
        <f>calculator_eurwhs!$B$13+database_eurwhs!I63-1</f>
        <v>44577</v>
      </c>
      <c r="K63" s="145">
        <f>IF(E63=0,database_eurwhs!J63+database_eurwhs!C63,database_eurwhs!J63+database_eurwhs!E63)</f>
        <v>44585</v>
      </c>
      <c r="L63" s="143">
        <f t="shared" si="11"/>
        <v>300</v>
      </c>
      <c r="M63" s="143">
        <f>O63*4</f>
        <v>300</v>
      </c>
      <c r="N63" s="143">
        <f t="shared" si="12"/>
        <v>150</v>
      </c>
      <c r="O63" s="143">
        <f>$J$18</f>
        <v>75</v>
      </c>
      <c r="P63" s="143">
        <f>$J$19</f>
        <v>150</v>
      </c>
    </row>
    <row r="64" spans="1:16" ht="12.75">
      <c r="A64" s="23" t="s">
        <v>122</v>
      </c>
      <c r="B64" s="134">
        <f>calculator_eurwhs!$C$13</f>
        <v>11</v>
      </c>
      <c r="C64" s="134">
        <f t="shared" si="6"/>
        <v>7</v>
      </c>
      <c r="D64" s="133">
        <f t="shared" si="13"/>
        <v>-1</v>
      </c>
      <c r="E64" s="134">
        <f t="shared" si="7"/>
        <v>0</v>
      </c>
      <c r="F64" s="134">
        <f t="shared" si="8"/>
        <v>262.5</v>
      </c>
      <c r="G64" s="134">
        <f t="shared" si="9"/>
        <v>0</v>
      </c>
      <c r="H64" s="134">
        <f t="shared" si="10"/>
        <v>262.5</v>
      </c>
      <c r="I64" s="133">
        <v>4</v>
      </c>
      <c r="J64" s="141">
        <f>calculator_eurwhs!$B$13+database_eurwhs!I64-1</f>
        <v>44579</v>
      </c>
      <c r="K64" s="137">
        <f>IF(E64=0,database_eurwhs!J64+database_eurwhs!C64,database_eurwhs!J64+database_eurwhs!E64)</f>
        <v>44586</v>
      </c>
      <c r="L64" s="134">
        <f t="shared" si="11"/>
        <v>262.5</v>
      </c>
      <c r="M64" s="134">
        <f t="shared" si="14"/>
        <v>187.5</v>
      </c>
      <c r="N64" s="134">
        <f t="shared" si="12"/>
        <v>0</v>
      </c>
      <c r="O64" s="134">
        <f>$J$20</f>
        <v>37.5</v>
      </c>
      <c r="P64" s="134">
        <f>$J$21</f>
        <v>75</v>
      </c>
    </row>
    <row r="65" spans="1:16" ht="12.75">
      <c r="A65" s="23" t="s">
        <v>128</v>
      </c>
      <c r="B65" s="134">
        <f>calculator_eurwhs!$C$13</f>
        <v>11</v>
      </c>
      <c r="C65" s="134">
        <f t="shared" si="6"/>
        <v>9</v>
      </c>
      <c r="D65" s="133">
        <f t="shared" si="13"/>
        <v>1</v>
      </c>
      <c r="E65" s="134">
        <f t="shared" si="7"/>
        <v>8</v>
      </c>
      <c r="F65" s="134">
        <f t="shared" si="8"/>
        <v>0</v>
      </c>
      <c r="G65" s="134">
        <f t="shared" si="9"/>
        <v>225</v>
      </c>
      <c r="H65" s="134">
        <f t="shared" si="10"/>
        <v>225</v>
      </c>
      <c r="I65" s="133">
        <v>2</v>
      </c>
      <c r="J65" s="141">
        <f>calculator_eurwhs!$B$13+database_eurwhs!I65-1</f>
        <v>44577</v>
      </c>
      <c r="K65" s="137">
        <f>IF(E65=0,database_eurwhs!J65+database_eurwhs!C65,database_eurwhs!J65+database_eurwhs!E65)</f>
        <v>44585</v>
      </c>
      <c r="L65" s="134">
        <f t="shared" si="11"/>
        <v>150</v>
      </c>
      <c r="M65" s="134">
        <f>O65*4</f>
        <v>150</v>
      </c>
      <c r="N65" s="134">
        <f t="shared" si="12"/>
        <v>75</v>
      </c>
      <c r="O65" s="134">
        <f>$J$16</f>
        <v>37.5</v>
      </c>
      <c r="P65" s="134">
        <f>$J$17</f>
        <v>75</v>
      </c>
    </row>
    <row r="66" spans="1:16" ht="12.75">
      <c r="A66" s="23" t="s">
        <v>123</v>
      </c>
      <c r="B66" s="134">
        <f>calculator_eurwhs!$C$13</f>
        <v>11</v>
      </c>
      <c r="C66" s="134">
        <f t="shared" si="6"/>
        <v>7</v>
      </c>
      <c r="D66" s="133">
        <f t="shared" si="13"/>
        <v>-1</v>
      </c>
      <c r="E66" s="134">
        <f t="shared" si="7"/>
        <v>0</v>
      </c>
      <c r="F66" s="134">
        <f t="shared" si="8"/>
        <v>525</v>
      </c>
      <c r="G66" s="134">
        <f t="shared" si="9"/>
        <v>0</v>
      </c>
      <c r="H66" s="134">
        <f t="shared" si="10"/>
        <v>525</v>
      </c>
      <c r="I66" s="133">
        <v>4</v>
      </c>
      <c r="J66" s="141">
        <f>calculator_eurwhs!$B$13+database_eurwhs!I66-1</f>
        <v>44579</v>
      </c>
      <c r="K66" s="137">
        <f>IF(E66=0,database_eurwhs!J66+database_eurwhs!C66,database_eurwhs!J66+database_eurwhs!E66)</f>
        <v>44586</v>
      </c>
      <c r="L66" s="134">
        <f t="shared" si="11"/>
        <v>525</v>
      </c>
      <c r="M66" s="134">
        <f t="shared" si="14"/>
        <v>375</v>
      </c>
      <c r="N66" s="134">
        <f t="shared" si="12"/>
        <v>0</v>
      </c>
      <c r="O66" s="134">
        <f>$J$22</f>
        <v>75</v>
      </c>
      <c r="P66" s="134">
        <f>$J23</f>
        <v>150</v>
      </c>
    </row>
    <row r="67" spans="1:16" ht="12.75">
      <c r="A67" s="23" t="s">
        <v>129</v>
      </c>
      <c r="B67" s="134">
        <f>calculator_eurwhs!$C$13</f>
        <v>11</v>
      </c>
      <c r="C67" s="134">
        <f t="shared" si="6"/>
        <v>9</v>
      </c>
      <c r="D67" s="133">
        <f t="shared" si="13"/>
        <v>1</v>
      </c>
      <c r="E67" s="134">
        <f t="shared" si="7"/>
        <v>8</v>
      </c>
      <c r="F67" s="134">
        <f t="shared" si="8"/>
        <v>0</v>
      </c>
      <c r="G67" s="134">
        <f t="shared" si="9"/>
        <v>450</v>
      </c>
      <c r="H67" s="134">
        <f t="shared" si="10"/>
        <v>450</v>
      </c>
      <c r="I67" s="133">
        <v>2</v>
      </c>
      <c r="J67" s="141">
        <f>calculator_eurwhs!$B$13+database_eurwhs!I67-1</f>
        <v>44577</v>
      </c>
      <c r="K67" s="137">
        <f>IF(E67=0,database_eurwhs!J67+database_eurwhs!C67,database_eurwhs!J67+database_eurwhs!E67)</f>
        <v>44585</v>
      </c>
      <c r="L67" s="134">
        <f t="shared" si="11"/>
        <v>300</v>
      </c>
      <c r="M67" s="134">
        <f>O67*4</f>
        <v>300</v>
      </c>
      <c r="N67" s="134">
        <f t="shared" si="12"/>
        <v>150</v>
      </c>
      <c r="O67" s="134">
        <f>$J$18</f>
        <v>75</v>
      </c>
      <c r="P67" s="134">
        <f>$J$19</f>
        <v>150</v>
      </c>
    </row>
    <row r="70" ht="12.75">
      <c r="A70" s="139" t="s">
        <v>107</v>
      </c>
    </row>
    <row r="71" spans="1:12" ht="12.75">
      <c r="A71" s="130" t="s">
        <v>108</v>
      </c>
      <c r="B71" s="134">
        <f>calculator_eurwhs!$C$14</f>
        <v>25</v>
      </c>
      <c r="C71" s="134">
        <f>B71-I71</f>
        <v>23</v>
      </c>
      <c r="I71" s="130">
        <v>2</v>
      </c>
      <c r="J71" s="137">
        <f>calculator_eurwhs!$B$12+database_eurwhs!I71</f>
        <v>44564</v>
      </c>
      <c r="K71" s="137">
        <f>IF(E71=0,database_eurwhs!J71+database_eurwhs!C71,database_eurwhs!J71+database_eurwhs!E71)</f>
        <v>44587</v>
      </c>
      <c r="L71" s="134">
        <f>IF(F71=0,M71,F71)</f>
        <v>0</v>
      </c>
    </row>
  </sheetData>
  <sheetProtection selectLockedCells="1"/>
  <mergeCells count="6">
    <mergeCell ref="A2:G2"/>
    <mergeCell ref="H12:H15"/>
    <mergeCell ref="H16:H19"/>
    <mergeCell ref="H20:H23"/>
    <mergeCell ref="A21:G21"/>
    <mergeCell ref="H24:H27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70"/>
  <sheetViews>
    <sheetView showGridLines="0" showRowColHeaders="0" zoomScalePageLayoutView="0" workbookViewId="0" topLeftCell="A1">
      <selection activeCell="A7" sqref="A7:D7"/>
    </sheetView>
  </sheetViews>
  <sheetFormatPr defaultColWidth="9.140625" defaultRowHeight="12.75"/>
  <cols>
    <col min="1" max="1" width="34.8515625" style="130" customWidth="1"/>
    <col min="2" max="2" width="104.7109375" style="130" bestFit="1" customWidth="1"/>
    <col min="3" max="3" width="10.140625" style="130" bestFit="1" customWidth="1"/>
    <col min="4" max="16384" width="9.140625" style="130" customWidth="1"/>
  </cols>
  <sheetData>
    <row r="1" ht="12.75">
      <c r="A1" s="74">
        <v>2013</v>
      </c>
    </row>
    <row r="2" ht="12.75"/>
    <row r="3" ht="12.75"/>
    <row r="4" spans="1:4" ht="12.75">
      <c r="A4" s="91"/>
      <c r="B4" s="92"/>
      <c r="D4" s="106" t="s">
        <v>136</v>
      </c>
    </row>
    <row r="5" spans="1:4" ht="12.75">
      <c r="A5" s="93"/>
      <c r="B5" s="92"/>
      <c r="C5" s="92"/>
      <c r="D5" s="92"/>
    </row>
    <row r="6" spans="1:4" ht="18.75" customHeight="1" thickBot="1">
      <c r="A6" s="186" t="s">
        <v>141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 customHeight="1">
      <c r="A8" s="187"/>
      <c r="B8" s="188"/>
      <c r="C8" s="188"/>
      <c r="D8" s="188"/>
    </row>
    <row r="9" spans="1:4" ht="18">
      <c r="A9" s="59" t="s">
        <v>102</v>
      </c>
      <c r="B9" s="29"/>
      <c r="C9" s="29"/>
      <c r="D9" s="29"/>
    </row>
    <row r="10" spans="1:4" ht="18">
      <c r="A10" s="13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154">
        <f>B13-B12+1</f>
        <v>15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53</v>
      </c>
      <c r="C18" s="66"/>
      <c r="D18" s="64"/>
    </row>
    <row r="19" spans="1:4" ht="13.5" thickBot="1">
      <c r="A19" s="77"/>
      <c r="B19" s="135" t="str">
        <f>CONCATENATE(B18,B17)</f>
        <v>Poland, Austria, Czech Rep., Hungary, Slowakia, Slowenia, Bosnia-Herzegovina, Croatia, Makedonija, Serbia-Montenegro40' standard</v>
      </c>
      <c r="C19" s="64"/>
      <c r="D19" s="64"/>
    </row>
    <row r="20" spans="1:5" ht="14.25" thickBot="1" thickTop="1">
      <c r="A20" s="81">
        <f>IF(B36&lt;&gt;"FREE",_xlfn.IFERROR(VLOOKUP(B19,database_gdansk!A40:I52,9,FALSE),"not found in tariff database"),"FREE")</f>
        <v>5</v>
      </c>
      <c r="B20" s="82">
        <f>_xlfn.IFERROR(VLOOKUP(B19,database_gdansk!A40:H52,8,FALSE),"not found in tariff database")</f>
        <v>160</v>
      </c>
      <c r="C20" s="83"/>
      <c r="D20" s="83"/>
      <c r="E20" s="83"/>
    </row>
    <row r="21" spans="1:4" ht="27.75" customHeight="1" thickBot="1">
      <c r="A21" s="78" t="s">
        <v>158</v>
      </c>
      <c r="B21" s="104" t="s">
        <v>159</v>
      </c>
      <c r="C21" s="64"/>
      <c r="D21" s="64"/>
    </row>
    <row r="22" spans="1:4" ht="12.75">
      <c r="A22" s="52" t="s">
        <v>89</v>
      </c>
      <c r="B22" s="50" t="str">
        <f>IF(B36&lt;&gt;"FREE",_xlfn.IFERROR(VLOOKUP(B19,database_gdansk!A40:I52,9,FALSE),"not found in tariff database"),"FREE")&amp;" days"</f>
        <v>5 days</v>
      </c>
      <c r="C22" s="64"/>
      <c r="D22" s="64"/>
    </row>
    <row r="23" spans="1:4" ht="12.75">
      <c r="A23" s="53" t="s">
        <v>91</v>
      </c>
      <c r="B23" s="49" t="str">
        <f>C14-A20&amp;" days"</f>
        <v>10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44567</v>
      </c>
      <c r="C25" s="67">
        <f>_xlfn.IFERROR(VLOOKUP(B19,database_gdansk!A40:J52,10,FALSE),"not found in tariff database")</f>
        <v>44566</v>
      </c>
      <c r="D25" s="64"/>
    </row>
    <row r="26" spans="1:4" ht="12.75">
      <c r="A26" s="44" t="s">
        <v>87</v>
      </c>
      <c r="B26" s="45">
        <f>IF(C26&gt;B14,"x",C26)</f>
        <v>44573</v>
      </c>
      <c r="C26" s="68">
        <f>IF(B36="FREE","FREE",_xlfn.IFERROR(VLOOKUP(B19,database_gdansk!A40:K52,11,FALSE),"not found in tariff database"))</f>
        <v>44573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IF(B36="FREE",0,_xlfn.IFERROR(VLOOKUP(B19,database_gdansk!A40:O52,15,FALSE),"not found in tariff database"))</f>
        <v>13</v>
      </c>
      <c r="C28" s="68"/>
      <c r="D28" s="64"/>
    </row>
    <row r="29" spans="1:4" ht="12.75">
      <c r="A29" s="51" t="s">
        <v>85</v>
      </c>
      <c r="B29" s="41">
        <f>IF(B36="FREE",0,_xlfn.IFERROR(VLOOKUP(B19,database_gdansk!A40:L52,12,FALSE),"not found in tariff database"))</f>
        <v>91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44574</v>
      </c>
      <c r="C31" s="64"/>
      <c r="D31" s="64"/>
    </row>
    <row r="32" spans="1:4" ht="12.75">
      <c r="A32" s="44" t="s">
        <v>87</v>
      </c>
      <c r="B32" s="45">
        <f>IF(B13&lt;=B26,"x",B13)</f>
        <v>44576</v>
      </c>
      <c r="C32" s="64"/>
      <c r="D32" s="64"/>
    </row>
    <row r="33" spans="1:4" ht="12.75">
      <c r="A33" s="55" t="s">
        <v>90</v>
      </c>
      <c r="B33" s="48">
        <f>_xlfn.IFERROR((B32+1)-B31,"x")</f>
        <v>3</v>
      </c>
      <c r="C33" s="64"/>
      <c r="D33" s="64"/>
    </row>
    <row r="34" spans="1:4" ht="12.75">
      <c r="A34" s="46" t="s">
        <v>81</v>
      </c>
      <c r="B34" s="47">
        <f>IF(B36="FREE",0,_xlfn.IFERROR(VLOOKUP(B19,database_gdansk!A40:P52,16,FALSE),"not found in tariff database"))</f>
        <v>23</v>
      </c>
      <c r="C34" s="64"/>
      <c r="D34" s="64"/>
    </row>
    <row r="35" spans="1:4" ht="13.5" thickBot="1">
      <c r="A35" s="51" t="s">
        <v>86</v>
      </c>
      <c r="B35" s="43">
        <f>_xlfn.IFERROR(VLOOKUP(B19,database_gdansk!A40:N52,14,FALSE),"not found in tariff database")</f>
        <v>69</v>
      </c>
      <c r="C35" s="64"/>
      <c r="D35" s="64"/>
    </row>
    <row r="36" spans="1:4" ht="16.5" thickBot="1">
      <c r="A36" s="57" t="s">
        <v>99</v>
      </c>
      <c r="B36" s="58">
        <f>IF(B20&gt;0,B20,"FREE")</f>
        <v>160</v>
      </c>
      <c r="C36" s="69"/>
      <c r="D36" s="64"/>
    </row>
    <row r="37" ht="12.75">
      <c r="B37" s="135" t="str">
        <f>CONCATENATE(C15,B15)</f>
        <v>40' standardNein</v>
      </c>
    </row>
    <row r="38" spans="1:2" ht="13.5" thickBot="1">
      <c r="A38" s="135">
        <f>IF(B54&lt;&gt;"FREE",_xlfn.IFERROR(VLOOKUP(B37,database_gdansk!A56:I67,9,FALSE),"not found in tariff database"),"FREE")</f>
        <v>9</v>
      </c>
      <c r="B38" s="135">
        <f>_xlfn.IFERROR(VLOOKUP(B37,database_gdansk!A56:H67,8,FALSE),"not found in tariff database")</f>
        <v>40</v>
      </c>
    </row>
    <row r="39" spans="1:2" ht="13.5" thickBot="1">
      <c r="A39" s="78" t="s">
        <v>172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IF(B54&lt;&gt;"FREE",_xlfn.IFERROR(VLOOKUP(B37,database_gdansk!A56:I67,9,FALSE),"not found in tariff database"),"FREE")&amp;" days"</f>
        <v>9 days</v>
      </c>
    </row>
    <row r="41" spans="1:2" ht="12.75">
      <c r="A41" s="53" t="s">
        <v>101</v>
      </c>
      <c r="B41" s="49" t="str">
        <f>C13-A38&amp;" days"</f>
        <v>2 days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>
        <f>IF(B54&lt;&gt;"FREE",C43+1,"FREE")</f>
        <v>44585</v>
      </c>
      <c r="C43" s="68">
        <f>_xlfn.IFERROR(VLOOKUP(B37,database_gdansk!A56:J67,10,FALSE),"not found in tariff database")</f>
        <v>44584</v>
      </c>
    </row>
    <row r="44" spans="1:3" ht="12.75">
      <c r="A44" s="44" t="s">
        <v>87</v>
      </c>
      <c r="B44" s="45">
        <f>IF(C44&gt;B14,"x",C44)</f>
        <v>44586</v>
      </c>
      <c r="C44" s="68">
        <f>IF(B54="FREE","FREE",_xlfn.IFERROR(VLOOKUP(B37,database_gdansk!A56:K67,11,FALSE),"not found in tariff database"))</f>
        <v>44586</v>
      </c>
    </row>
    <row r="45" spans="1:2" ht="12.75">
      <c r="A45" s="55" t="s">
        <v>90</v>
      </c>
      <c r="B45" s="48">
        <f>(B44+1)-B43</f>
        <v>2</v>
      </c>
    </row>
    <row r="46" spans="1:2" ht="12.75">
      <c r="A46" s="46" t="s">
        <v>82</v>
      </c>
      <c r="B46" s="47">
        <f>IF(B54="FREE",0,_xlfn.IFERROR(VLOOKUP(B37,database_gdansk!A56:O67,15,FALSE),"not found in tariff database"))</f>
        <v>20</v>
      </c>
    </row>
    <row r="47" spans="1:2" ht="12.75">
      <c r="A47" s="51" t="s">
        <v>85</v>
      </c>
      <c r="B47" s="41">
        <f>IF(B54="FREE",0,_xlfn.IFERROR(VLOOKUP(B37,database_gdansk!A56:L67,12,FALSE),"not found in tariff database"))</f>
        <v>40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 t="str">
        <f>IF(OR(B50="x",B50&lt;=B44),"x",B44+1)</f>
        <v>x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 t="str">
        <f>_xlfn.IFERROR((B50+1)-B49,"x")</f>
        <v>x</v>
      </c>
    </row>
    <row r="52" spans="1:2" ht="12.75">
      <c r="A52" s="46" t="s">
        <v>81</v>
      </c>
      <c r="B52" s="47">
        <f>IF(B54="FREE",0,_xlfn.IFERROR(VLOOKUP(B37,database_gdansk!A56:P67,16,FALSE),"not found in tariff database"))</f>
        <v>30</v>
      </c>
    </row>
    <row r="53" spans="1:2" ht="13.5" thickBot="1">
      <c r="A53" s="51" t="s">
        <v>86</v>
      </c>
      <c r="B53" s="43">
        <f>_xlfn.IFERROR(VLOOKUP(B37,database_gdansk!A56:N67,14,FALSE),"not found in tariff database")</f>
        <v>0</v>
      </c>
    </row>
    <row r="54" spans="1:2" ht="16.5" thickBot="1">
      <c r="A54" s="57" t="s">
        <v>100</v>
      </c>
      <c r="B54" s="58">
        <f>IF(B38&gt;0,B38,"FREE")</f>
        <v>40</v>
      </c>
    </row>
    <row r="55" ht="12.75"/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135">
        <f>(B62-B61)+1</f>
        <v>9</v>
      </c>
    </row>
    <row r="60" spans="1:2" ht="12.75">
      <c r="A60" s="54" t="s">
        <v>110</v>
      </c>
      <c r="B60" s="40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IF(C17="reefer",C59*database_gdansk!M11,"NOT APPLICABLE")</f>
        <v>NOT APPLICABLE</v>
      </c>
    </row>
    <row r="64" ht="12.75"/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3">
    <mergeCell ref="A6:D6"/>
    <mergeCell ref="A7:D7"/>
    <mergeCell ref="A8:D8"/>
  </mergeCells>
  <dataValidations count="4">
    <dataValidation type="list" allowBlank="1" showInputMessage="1" showErrorMessage="1" sqref="B18">
      <formula1>$A$65:$A$66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5">
      <formula1>$D$65:$D$66</formula1>
    </dataValidation>
    <dataValidation allowBlank="1" showInputMessage="1" showErrorMessage="1" promptTitle="INPUT FORMAT" prompt="The following formats are accepted:&#10;dd.mm.yy&#10;dd.mm.yyyy&#10;dd/mm/yy&#10;dd/mm/yyyy" sqref="B12:B14"/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71"/>
  <sheetViews>
    <sheetView zoomScale="80" zoomScaleNormal="80" zoomScalePageLayoutView="0" workbookViewId="0" topLeftCell="A1">
      <selection activeCell="J12" sqref="J12"/>
    </sheetView>
  </sheetViews>
  <sheetFormatPr defaultColWidth="22.28125" defaultRowHeight="12.75"/>
  <cols>
    <col min="1" max="2" width="22.28125" style="130" customWidth="1"/>
    <col min="3" max="3" width="15.140625" style="130" bestFit="1" customWidth="1"/>
    <col min="4" max="4" width="16.140625" style="130" bestFit="1" customWidth="1"/>
    <col min="5" max="5" width="15.28125" style="130" bestFit="1" customWidth="1"/>
    <col min="6" max="6" width="12.28125" style="130" bestFit="1" customWidth="1"/>
    <col min="7" max="7" width="18.140625" style="130" bestFit="1" customWidth="1"/>
    <col min="8" max="8" width="22.28125" style="130" customWidth="1"/>
    <col min="9" max="9" width="11.28125" style="130" customWidth="1"/>
    <col min="10" max="10" width="21.00390625" style="130" bestFit="1" customWidth="1"/>
    <col min="11" max="12" width="22.28125" style="130" customWidth="1"/>
    <col min="13" max="13" width="17.8515625" style="130" bestFit="1" customWidth="1"/>
    <col min="14" max="15" width="22.28125" style="130" customWidth="1"/>
    <col min="16" max="16384" width="22.28125" style="13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s="130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s="130" t="s">
        <v>97</v>
      </c>
    </row>
    <row r="3" spans="1:10" ht="12.75">
      <c r="A3" s="7" t="s">
        <v>45</v>
      </c>
      <c r="B3" s="8" t="s">
        <v>0</v>
      </c>
      <c r="C3" s="9" t="s">
        <v>1</v>
      </c>
      <c r="D3" s="10" t="s">
        <v>2</v>
      </c>
      <c r="E3" s="30" t="s">
        <v>3</v>
      </c>
      <c r="F3" s="31">
        <v>43497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4</v>
      </c>
      <c r="C4" s="2" t="s">
        <v>1</v>
      </c>
      <c r="D4" s="3" t="s">
        <v>2</v>
      </c>
      <c r="E4" s="32">
        <v>35</v>
      </c>
      <c r="F4" s="33">
        <v>43497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5</v>
      </c>
      <c r="C5" s="14" t="s">
        <v>1</v>
      </c>
      <c r="D5" s="15" t="s">
        <v>2</v>
      </c>
      <c r="E5" s="34">
        <v>55</v>
      </c>
      <c r="F5" s="35">
        <v>43497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6</v>
      </c>
      <c r="C6" s="9" t="s">
        <v>1</v>
      </c>
      <c r="D6" s="10" t="s">
        <v>2</v>
      </c>
      <c r="E6" s="30" t="s">
        <v>3</v>
      </c>
      <c r="F6" s="31">
        <v>43497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7</v>
      </c>
      <c r="C7" s="2" t="s">
        <v>1</v>
      </c>
      <c r="D7" s="3" t="s">
        <v>2</v>
      </c>
      <c r="E7" s="32">
        <v>45</v>
      </c>
      <c r="F7" s="33">
        <v>43497</v>
      </c>
      <c r="G7" s="17" t="s">
        <v>27</v>
      </c>
    </row>
    <row r="8" spans="1:7" ht="13.5" thickBot="1">
      <c r="A8" s="12" t="s">
        <v>46</v>
      </c>
      <c r="B8" s="13" t="s">
        <v>8</v>
      </c>
      <c r="C8" s="14" t="s">
        <v>1</v>
      </c>
      <c r="D8" s="15" t="s">
        <v>2</v>
      </c>
      <c r="E8" s="34">
        <v>85</v>
      </c>
      <c r="F8" s="35">
        <v>43497</v>
      </c>
      <c r="G8" s="18" t="s">
        <v>27</v>
      </c>
    </row>
    <row r="9" spans="1:7" ht="13.5" thickBot="1">
      <c r="A9" s="7" t="s">
        <v>47</v>
      </c>
      <c r="B9" s="8" t="s">
        <v>9</v>
      </c>
      <c r="C9" s="9" t="s">
        <v>1</v>
      </c>
      <c r="D9" s="10" t="s">
        <v>2</v>
      </c>
      <c r="E9" s="30" t="s">
        <v>3</v>
      </c>
      <c r="F9" s="31">
        <v>43497</v>
      </c>
      <c r="G9" s="16" t="s">
        <v>27</v>
      </c>
    </row>
    <row r="10" spans="1:13" ht="12.75">
      <c r="A10" s="11" t="s">
        <v>47</v>
      </c>
      <c r="B10" s="1" t="s">
        <v>10</v>
      </c>
      <c r="C10" s="2" t="s">
        <v>1</v>
      </c>
      <c r="D10" s="3" t="s">
        <v>2</v>
      </c>
      <c r="E10" s="32">
        <v>75</v>
      </c>
      <c r="F10" s="33">
        <v>43497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11</v>
      </c>
      <c r="C11" s="14" t="s">
        <v>1</v>
      </c>
      <c r="D11" s="15" t="s">
        <v>2</v>
      </c>
      <c r="E11" s="34">
        <v>111</v>
      </c>
      <c r="F11" s="35">
        <v>43497</v>
      </c>
      <c r="G11" s="18" t="s">
        <v>27</v>
      </c>
      <c r="I11" s="153" t="s">
        <v>54</v>
      </c>
      <c r="J11" s="148"/>
      <c r="K11" s="92"/>
      <c r="L11" s="131" t="s">
        <v>112</v>
      </c>
      <c r="M11" s="132">
        <v>110</v>
      </c>
    </row>
    <row r="12" spans="1:11" ht="12.75">
      <c r="A12" s="7" t="s">
        <v>48</v>
      </c>
      <c r="B12" s="8" t="s">
        <v>12</v>
      </c>
      <c r="C12" s="9" t="s">
        <v>1</v>
      </c>
      <c r="D12" s="10" t="s">
        <v>2</v>
      </c>
      <c r="E12" s="30" t="s">
        <v>3</v>
      </c>
      <c r="F12" s="31">
        <v>43497</v>
      </c>
      <c r="G12" s="16" t="s">
        <v>27</v>
      </c>
      <c r="H12" s="199" t="s">
        <v>177</v>
      </c>
      <c r="I12" s="142" t="s">
        <v>168</v>
      </c>
      <c r="J12" s="146">
        <v>20</v>
      </c>
      <c r="K12" s="147" t="s">
        <v>105</v>
      </c>
    </row>
    <row r="13" spans="1:11" ht="13.5" thickBot="1">
      <c r="A13" s="11" t="s">
        <v>48</v>
      </c>
      <c r="B13" s="1" t="s">
        <v>13</v>
      </c>
      <c r="C13" s="2" t="s">
        <v>1</v>
      </c>
      <c r="D13" s="3" t="s">
        <v>2</v>
      </c>
      <c r="E13" s="32">
        <v>111</v>
      </c>
      <c r="F13" s="33">
        <v>43497</v>
      </c>
      <c r="G13" s="17" t="s">
        <v>27</v>
      </c>
      <c r="H13" s="200"/>
      <c r="I13" s="150" t="s">
        <v>169</v>
      </c>
      <c r="J13" s="149">
        <v>30</v>
      </c>
      <c r="K13" s="151" t="s">
        <v>105</v>
      </c>
    </row>
    <row r="14" spans="1:11" ht="13.5" thickBot="1">
      <c r="A14" s="12" t="s">
        <v>48</v>
      </c>
      <c r="B14" s="13" t="s">
        <v>14</v>
      </c>
      <c r="C14" s="14" t="s">
        <v>1</v>
      </c>
      <c r="D14" s="15" t="s">
        <v>2</v>
      </c>
      <c r="E14" s="34">
        <v>151</v>
      </c>
      <c r="F14" s="35">
        <v>43497</v>
      </c>
      <c r="G14" s="18" t="s">
        <v>27</v>
      </c>
      <c r="H14" s="200"/>
      <c r="I14" s="107" t="s">
        <v>168</v>
      </c>
      <c r="J14" s="148">
        <v>20</v>
      </c>
      <c r="K14" s="152" t="s">
        <v>106</v>
      </c>
    </row>
    <row r="15" spans="1:11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43497</v>
      </c>
      <c r="G15" s="16" t="s">
        <v>27</v>
      </c>
      <c r="H15" s="201"/>
      <c r="I15" s="150" t="s">
        <v>169</v>
      </c>
      <c r="J15" s="149">
        <v>30</v>
      </c>
      <c r="K15" s="151" t="s">
        <v>106</v>
      </c>
    </row>
    <row r="16" spans="1:11" ht="13.5" thickBot="1">
      <c r="A16" s="11" t="s">
        <v>49</v>
      </c>
      <c r="B16" s="1" t="s">
        <v>16</v>
      </c>
      <c r="C16" s="2" t="s">
        <v>1</v>
      </c>
      <c r="D16" s="3" t="s">
        <v>2</v>
      </c>
      <c r="E16" s="32">
        <v>75</v>
      </c>
      <c r="F16" s="33">
        <v>43497</v>
      </c>
      <c r="G16" s="17" t="s">
        <v>27</v>
      </c>
      <c r="H16" s="195" t="s">
        <v>178</v>
      </c>
      <c r="I16" s="107" t="s">
        <v>170</v>
      </c>
      <c r="J16" s="148">
        <v>70</v>
      </c>
      <c r="K16" s="147" t="s">
        <v>105</v>
      </c>
    </row>
    <row r="17" spans="1:11" ht="13.5" thickBot="1">
      <c r="A17" s="12" t="s">
        <v>49</v>
      </c>
      <c r="B17" s="13" t="s">
        <v>17</v>
      </c>
      <c r="C17" s="14" t="s">
        <v>1</v>
      </c>
      <c r="D17" s="15" t="s">
        <v>2</v>
      </c>
      <c r="E17" s="34">
        <v>95</v>
      </c>
      <c r="F17" s="35">
        <v>43497</v>
      </c>
      <c r="G17" s="18" t="s">
        <v>27</v>
      </c>
      <c r="H17" s="195"/>
      <c r="I17" s="150" t="s">
        <v>144</v>
      </c>
      <c r="J17" s="149">
        <v>110</v>
      </c>
      <c r="K17" s="151" t="s">
        <v>105</v>
      </c>
    </row>
    <row r="18" spans="1:11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43497</v>
      </c>
      <c r="G18" s="16" t="s">
        <v>27</v>
      </c>
      <c r="H18" s="195"/>
      <c r="I18" s="107" t="s">
        <v>170</v>
      </c>
      <c r="J18" s="148">
        <v>70</v>
      </c>
      <c r="K18" s="152" t="s">
        <v>106</v>
      </c>
    </row>
    <row r="19" spans="1:11" ht="13.5" thickBot="1">
      <c r="A19" s="11" t="s">
        <v>50</v>
      </c>
      <c r="B19" s="1" t="s">
        <v>19</v>
      </c>
      <c r="C19" s="2" t="s">
        <v>1</v>
      </c>
      <c r="D19" s="3" t="s">
        <v>2</v>
      </c>
      <c r="E19" s="32">
        <v>95</v>
      </c>
      <c r="F19" s="33">
        <v>43497</v>
      </c>
      <c r="G19" s="17" t="s">
        <v>27</v>
      </c>
      <c r="H19" s="195"/>
      <c r="I19" s="150" t="s">
        <v>144</v>
      </c>
      <c r="J19" s="149">
        <v>110</v>
      </c>
      <c r="K19" s="151" t="s">
        <v>106</v>
      </c>
    </row>
    <row r="20" spans="1:7" ht="13.5" thickBot="1">
      <c r="A20" s="12" t="s">
        <v>50</v>
      </c>
      <c r="B20" s="13" t="s">
        <v>20</v>
      </c>
      <c r="C20" s="14" t="s">
        <v>1</v>
      </c>
      <c r="D20" s="15" t="s">
        <v>2</v>
      </c>
      <c r="E20" s="34">
        <v>140</v>
      </c>
      <c r="F20" s="35">
        <v>43497</v>
      </c>
      <c r="G20" s="18" t="s">
        <v>27</v>
      </c>
    </row>
    <row r="21" spans="1:7" ht="24.75" customHeight="1" thickBot="1">
      <c r="A21" s="202" t="s">
        <v>29</v>
      </c>
      <c r="B21" s="203"/>
      <c r="C21" s="203"/>
      <c r="D21" s="203"/>
      <c r="E21" s="203"/>
      <c r="F21" s="203"/>
      <c r="G21" s="204"/>
    </row>
    <row r="22" spans="1:7" ht="13.5" thickBot="1">
      <c r="A22" s="157" t="s">
        <v>166</v>
      </c>
      <c r="B22" s="8" t="s">
        <v>160</v>
      </c>
      <c r="C22" s="9" t="s">
        <v>1</v>
      </c>
      <c r="D22" s="10" t="s">
        <v>2</v>
      </c>
      <c r="E22" s="30" t="s">
        <v>3</v>
      </c>
      <c r="F22" s="31">
        <v>43770</v>
      </c>
      <c r="G22" s="158" t="s">
        <v>27</v>
      </c>
    </row>
    <row r="23" spans="1:7" ht="13.5" thickBot="1">
      <c r="A23" s="157" t="s">
        <v>166</v>
      </c>
      <c r="B23" s="1" t="s">
        <v>161</v>
      </c>
      <c r="C23" s="2" t="s">
        <v>1</v>
      </c>
      <c r="D23" s="3" t="s">
        <v>2</v>
      </c>
      <c r="E23" s="32">
        <v>13</v>
      </c>
      <c r="F23" s="33">
        <v>43770</v>
      </c>
      <c r="G23" s="160" t="s">
        <v>27</v>
      </c>
    </row>
    <row r="24" spans="1:7" ht="13.5" thickBot="1">
      <c r="A24" s="157" t="s">
        <v>166</v>
      </c>
      <c r="B24" s="13" t="s">
        <v>5</v>
      </c>
      <c r="C24" s="14" t="s">
        <v>1</v>
      </c>
      <c r="D24" s="15" t="s">
        <v>2</v>
      </c>
      <c r="E24" s="34">
        <v>23</v>
      </c>
      <c r="F24" s="35">
        <v>43770</v>
      </c>
      <c r="G24" s="162" t="s">
        <v>27</v>
      </c>
    </row>
    <row r="25" spans="1:7" ht="13.5" thickBot="1">
      <c r="A25" s="157" t="s">
        <v>167</v>
      </c>
      <c r="B25" s="8" t="s">
        <v>162</v>
      </c>
      <c r="C25" s="9" t="s">
        <v>1</v>
      </c>
      <c r="D25" s="10" t="s">
        <v>2</v>
      </c>
      <c r="E25" s="30" t="s">
        <v>3</v>
      </c>
      <c r="F25" s="31">
        <v>43770</v>
      </c>
      <c r="G25" s="158" t="s">
        <v>27</v>
      </c>
    </row>
    <row r="26" spans="1:7" ht="13.5" thickBot="1">
      <c r="A26" s="157" t="s">
        <v>167</v>
      </c>
      <c r="B26" s="1" t="s">
        <v>163</v>
      </c>
      <c r="C26" s="2" t="s">
        <v>1</v>
      </c>
      <c r="D26" s="3" t="s">
        <v>2</v>
      </c>
      <c r="E26" s="32">
        <v>13</v>
      </c>
      <c r="F26" s="33">
        <v>43770</v>
      </c>
      <c r="G26" s="160" t="s">
        <v>27</v>
      </c>
    </row>
    <row r="27" spans="1:7" ht="13.5" thickBot="1">
      <c r="A27" s="157" t="s">
        <v>167</v>
      </c>
      <c r="B27" s="13" t="s">
        <v>8</v>
      </c>
      <c r="C27" s="14" t="s">
        <v>1</v>
      </c>
      <c r="D27" s="15" t="s">
        <v>2</v>
      </c>
      <c r="E27" s="34">
        <v>23</v>
      </c>
      <c r="F27" s="35">
        <v>43770</v>
      </c>
      <c r="G27" s="162" t="s">
        <v>27</v>
      </c>
    </row>
    <row r="28" spans="1:7" ht="12.75">
      <c r="A28" s="157" t="s">
        <v>47</v>
      </c>
      <c r="B28" s="8" t="s">
        <v>36</v>
      </c>
      <c r="C28" s="9" t="s">
        <v>1</v>
      </c>
      <c r="D28" s="10" t="s">
        <v>2</v>
      </c>
      <c r="E28" s="30" t="s">
        <v>3</v>
      </c>
      <c r="F28" s="31">
        <v>43770</v>
      </c>
      <c r="G28" s="158" t="s">
        <v>27</v>
      </c>
    </row>
    <row r="29" spans="1:7" ht="12.75">
      <c r="A29" s="159" t="s">
        <v>47</v>
      </c>
      <c r="B29" s="1" t="s">
        <v>164</v>
      </c>
      <c r="C29" s="2" t="s">
        <v>1</v>
      </c>
      <c r="D29" s="3" t="s">
        <v>2</v>
      </c>
      <c r="E29" s="32">
        <v>53</v>
      </c>
      <c r="F29" s="33">
        <v>43770</v>
      </c>
      <c r="G29" s="160" t="s">
        <v>27</v>
      </c>
    </row>
    <row r="30" spans="1:7" ht="13.5" thickBot="1">
      <c r="A30" s="161" t="s">
        <v>47</v>
      </c>
      <c r="B30" s="13" t="s">
        <v>165</v>
      </c>
      <c r="C30" s="14" t="s">
        <v>1</v>
      </c>
      <c r="D30" s="15" t="s">
        <v>2</v>
      </c>
      <c r="E30" s="34">
        <v>83</v>
      </c>
      <c r="F30" s="35">
        <v>43770</v>
      </c>
      <c r="G30" s="162" t="s">
        <v>27</v>
      </c>
    </row>
    <row r="31" spans="1:7" ht="12.75">
      <c r="A31" s="157" t="s">
        <v>48</v>
      </c>
      <c r="B31" s="8" t="s">
        <v>38</v>
      </c>
      <c r="C31" s="9" t="s">
        <v>1</v>
      </c>
      <c r="D31" s="10" t="s">
        <v>2</v>
      </c>
      <c r="E31" s="30" t="s">
        <v>3</v>
      </c>
      <c r="F31" s="31">
        <v>43770</v>
      </c>
      <c r="G31" s="158" t="s">
        <v>27</v>
      </c>
    </row>
    <row r="32" spans="1:7" ht="12.75">
      <c r="A32" s="159" t="s">
        <v>48</v>
      </c>
      <c r="B32" s="1" t="s">
        <v>39</v>
      </c>
      <c r="C32" s="2" t="s">
        <v>1</v>
      </c>
      <c r="D32" s="3" t="s">
        <v>2</v>
      </c>
      <c r="E32" s="32">
        <v>53</v>
      </c>
      <c r="F32" s="33">
        <v>43770</v>
      </c>
      <c r="G32" s="160" t="s">
        <v>27</v>
      </c>
    </row>
    <row r="33" spans="1:7" ht="13.5" thickBot="1">
      <c r="A33" s="161" t="s">
        <v>48</v>
      </c>
      <c r="B33" s="13" t="s">
        <v>14</v>
      </c>
      <c r="C33" s="14" t="s">
        <v>1</v>
      </c>
      <c r="D33" s="15" t="s">
        <v>2</v>
      </c>
      <c r="E33" s="34">
        <v>83</v>
      </c>
      <c r="F33" s="35">
        <v>43770</v>
      </c>
      <c r="G33" s="162" t="s">
        <v>27</v>
      </c>
    </row>
    <row r="34" spans="1:7" ht="12.75">
      <c r="A34" s="163" t="s">
        <v>49</v>
      </c>
      <c r="B34" s="164" t="s">
        <v>40</v>
      </c>
      <c r="C34" s="165" t="s">
        <v>1</v>
      </c>
      <c r="D34" s="166" t="s">
        <v>2</v>
      </c>
      <c r="E34" s="167" t="s">
        <v>3</v>
      </c>
      <c r="F34" s="168">
        <v>43770</v>
      </c>
      <c r="G34" s="169" t="s">
        <v>27</v>
      </c>
    </row>
    <row r="35" spans="1:7" ht="13.5" thickBot="1">
      <c r="A35" s="170" t="s">
        <v>49</v>
      </c>
      <c r="B35" s="171" t="s">
        <v>41</v>
      </c>
      <c r="C35" s="172" t="s">
        <v>1</v>
      </c>
      <c r="D35" s="173" t="s">
        <v>2</v>
      </c>
      <c r="E35" s="174">
        <v>40</v>
      </c>
      <c r="F35" s="175">
        <v>43770</v>
      </c>
      <c r="G35" s="176" t="s">
        <v>27</v>
      </c>
    </row>
    <row r="36" spans="1:7" ht="12.75">
      <c r="A36" s="163" t="s">
        <v>50</v>
      </c>
      <c r="B36" s="164" t="s">
        <v>42</v>
      </c>
      <c r="C36" s="165" t="s">
        <v>1</v>
      </c>
      <c r="D36" s="166" t="s">
        <v>2</v>
      </c>
      <c r="E36" s="167" t="s">
        <v>3</v>
      </c>
      <c r="F36" s="168">
        <v>43770</v>
      </c>
      <c r="G36" s="169" t="s">
        <v>27</v>
      </c>
    </row>
    <row r="37" spans="1:7" ht="13.5" thickBot="1">
      <c r="A37" s="170" t="s">
        <v>50</v>
      </c>
      <c r="B37" s="171" t="s">
        <v>43</v>
      </c>
      <c r="C37" s="172" t="s">
        <v>1</v>
      </c>
      <c r="D37" s="173" t="s">
        <v>2</v>
      </c>
      <c r="E37" s="174">
        <v>70</v>
      </c>
      <c r="F37" s="175">
        <v>43770</v>
      </c>
      <c r="G37" s="176" t="s">
        <v>27</v>
      </c>
    </row>
    <row r="39" ht="12.75">
      <c r="A39" s="139" t="s">
        <v>98</v>
      </c>
    </row>
    <row r="40" spans="1:16" ht="12.75">
      <c r="A40" s="27" t="s">
        <v>61</v>
      </c>
      <c r="B40" s="136" t="s">
        <v>62</v>
      </c>
      <c r="C40" s="136" t="s">
        <v>63</v>
      </c>
      <c r="D40" s="136" t="s">
        <v>64</v>
      </c>
      <c r="E40" s="136" t="s">
        <v>65</v>
      </c>
      <c r="F40" s="136" t="s">
        <v>67</v>
      </c>
      <c r="G40" s="136" t="s">
        <v>68</v>
      </c>
      <c r="H40" s="136" t="s">
        <v>66</v>
      </c>
      <c r="I40" s="136" t="s">
        <v>75</v>
      </c>
      <c r="J40" s="136" t="s">
        <v>77</v>
      </c>
      <c r="K40" s="136" t="s">
        <v>78</v>
      </c>
      <c r="L40" s="37" t="s">
        <v>79</v>
      </c>
      <c r="M40" s="138" t="s">
        <v>80</v>
      </c>
      <c r="N40" s="138" t="s">
        <v>76</v>
      </c>
      <c r="O40" s="138" t="s">
        <v>82</v>
      </c>
      <c r="P40" s="138" t="s">
        <v>81</v>
      </c>
    </row>
    <row r="41" spans="1:16" ht="34.5" thickBot="1">
      <c r="A41" s="25" t="s">
        <v>55</v>
      </c>
      <c r="B41" s="26">
        <f>calculator_gdansk!$C$14</f>
        <v>15</v>
      </c>
      <c r="C41" s="26">
        <f aca="true" t="shared" si="0" ref="C41:C52">B41-I41</f>
        <v>8</v>
      </c>
      <c r="D41" s="26">
        <f aca="true" t="shared" si="1" ref="D41:D46">C41-7</f>
        <v>1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300</v>
      </c>
      <c r="H41" s="26">
        <f aca="true" t="shared" si="3" ref="H41:H52">F41+G41</f>
        <v>300</v>
      </c>
      <c r="I41" s="134">
        <v>7</v>
      </c>
      <c r="J41" s="137">
        <f>calculator_gdansk!$B$12+database_gdansk!I41-1</f>
        <v>44568</v>
      </c>
      <c r="K41" s="137">
        <f>IF(E41=0,database_gdansk!J41+database_gdansk!C41,database_gdansk!J41+database_gdansk!E41)</f>
        <v>44575</v>
      </c>
      <c r="L41" s="134">
        <f>IF(F41=0,M41,F41)</f>
        <v>245</v>
      </c>
      <c r="M41" s="134">
        <f>E4*7</f>
        <v>245</v>
      </c>
      <c r="N41" s="134">
        <f>IF(G41=0,G41,G41-M41)</f>
        <v>55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134">
        <f>calculator_gdansk!$C$14</f>
        <v>15</v>
      </c>
      <c r="C42" s="134">
        <f t="shared" si="0"/>
        <v>8</v>
      </c>
      <c r="D42" s="134">
        <f t="shared" si="1"/>
        <v>1</v>
      </c>
      <c r="E42" s="134">
        <f t="shared" si="2"/>
        <v>7</v>
      </c>
      <c r="F42" s="134">
        <f>IF(D42&lt;=0,C42*E7,0)</f>
        <v>0</v>
      </c>
      <c r="G42" s="134">
        <f>IF(D42&gt;=1,D42*E8+M42,0)</f>
        <v>400</v>
      </c>
      <c r="H42" s="134">
        <f t="shared" si="3"/>
        <v>400</v>
      </c>
      <c r="I42" s="134">
        <v>7</v>
      </c>
      <c r="J42" s="137">
        <f>calculator_gdansk!$B$12+database_gdansk!I42-1</f>
        <v>44568</v>
      </c>
      <c r="K42" s="137">
        <f>IF(E42=0,database_gdansk!J42+database_gdansk!C42,database_gdansk!J42+database_gdansk!E42)</f>
        <v>44575</v>
      </c>
      <c r="L42" s="134">
        <f aca="true" t="shared" si="4" ref="L42:L52">IF(F42=0,M42,F42)</f>
        <v>315</v>
      </c>
      <c r="M42" s="134">
        <f>E7*7</f>
        <v>315</v>
      </c>
      <c r="N42" s="134">
        <f aca="true" t="shared" si="5" ref="N42:N50">IF(G42=0,G42,G42-M42)</f>
        <v>85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134">
        <f>calculator_gdansk!$C$14</f>
        <v>15</v>
      </c>
      <c r="C43" s="134">
        <f t="shared" si="0"/>
        <v>12</v>
      </c>
      <c r="D43" s="134">
        <f t="shared" si="1"/>
        <v>5</v>
      </c>
      <c r="E43" s="134">
        <f t="shared" si="2"/>
        <v>7</v>
      </c>
      <c r="F43" s="134">
        <f>IF(D43&lt;=0,C43*E10,0)</f>
        <v>0</v>
      </c>
      <c r="G43" s="134">
        <f>IF(D43&gt;=1,D43*E11+M43,0)</f>
        <v>1080</v>
      </c>
      <c r="H43" s="134">
        <f t="shared" si="3"/>
        <v>1080</v>
      </c>
      <c r="I43" s="134">
        <v>3</v>
      </c>
      <c r="J43" s="137">
        <f>calculator_gdansk!$B$12+database_gdansk!I43-1</f>
        <v>44564</v>
      </c>
      <c r="K43" s="137">
        <f>IF(E43=0,database_gdansk!J43+database_gdansk!C43,database_gdansk!J43+database_gdansk!E43)</f>
        <v>44571</v>
      </c>
      <c r="L43" s="134">
        <f t="shared" si="4"/>
        <v>525</v>
      </c>
      <c r="M43" s="134">
        <f>E10*7</f>
        <v>525</v>
      </c>
      <c r="N43" s="134">
        <f t="shared" si="5"/>
        <v>555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134">
        <f>calculator_gdansk!$C$14</f>
        <v>15</v>
      </c>
      <c r="C44" s="134">
        <f t="shared" si="0"/>
        <v>12</v>
      </c>
      <c r="D44" s="134">
        <f t="shared" si="1"/>
        <v>5</v>
      </c>
      <c r="E44" s="134">
        <f t="shared" si="2"/>
        <v>7</v>
      </c>
      <c r="F44" s="134">
        <f>IF(D44&lt;=0,C44*E13,0)</f>
        <v>0</v>
      </c>
      <c r="G44" s="134">
        <f>IF(D44&gt;=1,D44*E14+M44,0)</f>
        <v>1532</v>
      </c>
      <c r="H44" s="134">
        <f t="shared" si="3"/>
        <v>1532</v>
      </c>
      <c r="I44" s="134">
        <v>3</v>
      </c>
      <c r="J44" s="137">
        <f>calculator_gdansk!$B$12+database_gdansk!I44-1</f>
        <v>44564</v>
      </c>
      <c r="K44" s="137">
        <f>IF(E44=0,database_gdansk!J44+database_gdansk!C44,database_gdansk!J44+database_gdansk!E44)</f>
        <v>44571</v>
      </c>
      <c r="L44" s="134">
        <f t="shared" si="4"/>
        <v>777</v>
      </c>
      <c r="M44" s="134">
        <f>E13*7</f>
        <v>777</v>
      </c>
      <c r="N44" s="134">
        <f t="shared" si="5"/>
        <v>755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134">
        <f>calculator_gdansk!$C$14</f>
        <v>15</v>
      </c>
      <c r="C45" s="134">
        <f t="shared" si="0"/>
        <v>10</v>
      </c>
      <c r="D45" s="134">
        <f t="shared" si="1"/>
        <v>3</v>
      </c>
      <c r="E45" s="134">
        <f t="shared" si="2"/>
        <v>7</v>
      </c>
      <c r="F45" s="134">
        <f>IF(D45&lt;=0,C45*E16,0)</f>
        <v>0</v>
      </c>
      <c r="G45" s="134">
        <f>IF(D45&gt;=1,D45*E17+M45,0)</f>
        <v>810</v>
      </c>
      <c r="H45" s="134">
        <f t="shared" si="3"/>
        <v>810</v>
      </c>
      <c r="I45" s="134">
        <v>5</v>
      </c>
      <c r="J45" s="137">
        <f>calculator_gdansk!$B$12+database_gdansk!I45-1</f>
        <v>44566</v>
      </c>
      <c r="K45" s="137">
        <f>IF(E45=0,database_gdansk!J45+database_gdansk!C45,database_gdansk!J45+database_gdansk!E45)</f>
        <v>44573</v>
      </c>
      <c r="L45" s="134">
        <f t="shared" si="4"/>
        <v>525</v>
      </c>
      <c r="M45" s="134">
        <f>E16*7</f>
        <v>525</v>
      </c>
      <c r="N45" s="134">
        <f t="shared" si="5"/>
        <v>285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134">
        <f>calculator_gdansk!$C$14</f>
        <v>15</v>
      </c>
      <c r="C46" s="134">
        <f t="shared" si="0"/>
        <v>10</v>
      </c>
      <c r="D46" s="134">
        <f t="shared" si="1"/>
        <v>3</v>
      </c>
      <c r="E46" s="134">
        <f t="shared" si="2"/>
        <v>7</v>
      </c>
      <c r="F46" s="134">
        <f>IF(D46&lt;=0,C46*E19,0)</f>
        <v>0</v>
      </c>
      <c r="G46" s="134">
        <f>IF(D46&gt;=1,D46*E20+M46,0)</f>
        <v>1085</v>
      </c>
      <c r="H46" s="134">
        <f t="shared" si="3"/>
        <v>1085</v>
      </c>
      <c r="I46" s="134">
        <v>5</v>
      </c>
      <c r="J46" s="137">
        <f>calculator_gdansk!$B$12+database_gdansk!I46-1</f>
        <v>44566</v>
      </c>
      <c r="K46" s="137">
        <f>IF(E46=0,database_gdansk!J46+database_gdansk!C46,database_gdansk!J46+database_gdansk!E46)</f>
        <v>44573</v>
      </c>
      <c r="L46" s="134">
        <f t="shared" si="4"/>
        <v>665</v>
      </c>
      <c r="M46" s="134">
        <f>E19*7</f>
        <v>665</v>
      </c>
      <c r="N46" s="134">
        <f t="shared" si="5"/>
        <v>420</v>
      </c>
      <c r="O46" s="39">
        <f>E19</f>
        <v>95</v>
      </c>
      <c r="P46" s="39">
        <f>E20</f>
        <v>140</v>
      </c>
    </row>
    <row r="47" spans="1:16" s="108" customFormat="1" ht="57" thickBot="1">
      <c r="A47" s="177" t="s">
        <v>69</v>
      </c>
      <c r="B47" s="140">
        <f>calculator_gdansk!$C$14</f>
        <v>15</v>
      </c>
      <c r="C47" s="140">
        <f t="shared" si="0"/>
        <v>10</v>
      </c>
      <c r="D47" s="140">
        <f aca="true" t="shared" si="6" ref="D47:D52">C47-7</f>
        <v>3</v>
      </c>
      <c r="E47" s="140">
        <f t="shared" si="2"/>
        <v>7</v>
      </c>
      <c r="F47" s="140">
        <f>IF(D47&lt;=0,C47*E23,0)</f>
        <v>0</v>
      </c>
      <c r="G47" s="140">
        <f>IF(D47&gt;=1,D47*E24+M47,0)</f>
        <v>160</v>
      </c>
      <c r="H47" s="140">
        <f t="shared" si="3"/>
        <v>160</v>
      </c>
      <c r="I47" s="140">
        <v>5</v>
      </c>
      <c r="J47" s="144">
        <f>calculator_gdansk!$B$12+database_gdansk!I47-1</f>
        <v>44566</v>
      </c>
      <c r="K47" s="144">
        <f>IF(E47=0,database_gdansk!J47+database_gdansk!C47,database_gdansk!J47+database_gdansk!E47)</f>
        <v>44573</v>
      </c>
      <c r="L47" s="140">
        <f t="shared" si="4"/>
        <v>91</v>
      </c>
      <c r="M47" s="140">
        <f>E23*7</f>
        <v>91</v>
      </c>
      <c r="N47" s="140">
        <f t="shared" si="5"/>
        <v>69</v>
      </c>
      <c r="O47" s="178">
        <f>E23</f>
        <v>13</v>
      </c>
      <c r="P47" s="178">
        <f>E24</f>
        <v>23</v>
      </c>
    </row>
    <row r="48" spans="1:16" s="108" customFormat="1" ht="57" thickBot="1">
      <c r="A48" s="179" t="s">
        <v>70</v>
      </c>
      <c r="B48" s="140">
        <f>calculator_gdansk!$C$14</f>
        <v>15</v>
      </c>
      <c r="C48" s="140">
        <f t="shared" si="0"/>
        <v>10</v>
      </c>
      <c r="D48" s="140">
        <f t="shared" si="6"/>
        <v>3</v>
      </c>
      <c r="E48" s="140">
        <f t="shared" si="2"/>
        <v>7</v>
      </c>
      <c r="F48" s="140">
        <f>IF(D48&lt;=0,C48*E26,0)</f>
        <v>0</v>
      </c>
      <c r="G48" s="140">
        <f>IF(D48&gt;=1,D48*E27+M48,0)</f>
        <v>160</v>
      </c>
      <c r="H48" s="140">
        <f t="shared" si="3"/>
        <v>160</v>
      </c>
      <c r="I48" s="140">
        <v>5</v>
      </c>
      <c r="J48" s="144">
        <f>calculator_gdansk!$B$12+database_gdansk!I48-1</f>
        <v>44566</v>
      </c>
      <c r="K48" s="144">
        <f>IF(E48=0,database_gdansk!J48+database_gdansk!C48,database_gdansk!J48+database_gdansk!E48)</f>
        <v>44573</v>
      </c>
      <c r="L48" s="140">
        <f t="shared" si="4"/>
        <v>91</v>
      </c>
      <c r="M48" s="140">
        <f>E26*7</f>
        <v>91</v>
      </c>
      <c r="N48" s="140">
        <f t="shared" si="5"/>
        <v>69</v>
      </c>
      <c r="O48" s="178">
        <f>E26</f>
        <v>13</v>
      </c>
      <c r="P48" s="178">
        <f>E27</f>
        <v>23</v>
      </c>
    </row>
    <row r="49" spans="1:16" s="108" customFormat="1" ht="57" thickBot="1">
      <c r="A49" s="179" t="s">
        <v>71</v>
      </c>
      <c r="B49" s="180">
        <f>calculator_gdansk!$C$14</f>
        <v>15</v>
      </c>
      <c r="C49" s="180">
        <f t="shared" si="0"/>
        <v>10</v>
      </c>
      <c r="D49" s="140">
        <f t="shared" si="6"/>
        <v>3</v>
      </c>
      <c r="E49" s="140">
        <f t="shared" si="2"/>
        <v>7</v>
      </c>
      <c r="F49" s="180">
        <f>IF(D49&lt;=0,C49*E29,0)</f>
        <v>0</v>
      </c>
      <c r="G49" s="180">
        <f>IF(D49&gt;=1,D49*E30+M49,0)</f>
        <v>620</v>
      </c>
      <c r="H49" s="180">
        <f t="shared" si="3"/>
        <v>620</v>
      </c>
      <c r="I49" s="140">
        <v>5</v>
      </c>
      <c r="J49" s="144">
        <f>calculator_gdansk!$B$12+database_gdansk!I49-1</f>
        <v>44566</v>
      </c>
      <c r="K49" s="144">
        <f>IF(E49=0,database_gdansk!J49+database_gdansk!C49,database_gdansk!J49+database_gdansk!E49)</f>
        <v>44573</v>
      </c>
      <c r="L49" s="140">
        <f t="shared" si="4"/>
        <v>371</v>
      </c>
      <c r="M49" s="140">
        <f>E29*7</f>
        <v>371</v>
      </c>
      <c r="N49" s="140">
        <f t="shared" si="5"/>
        <v>249</v>
      </c>
      <c r="O49" s="178">
        <f>E29</f>
        <v>53</v>
      </c>
      <c r="P49" s="178">
        <f>E30</f>
        <v>83</v>
      </c>
    </row>
    <row r="50" spans="1:16" s="108" customFormat="1" ht="57" thickBot="1">
      <c r="A50" s="179" t="s">
        <v>72</v>
      </c>
      <c r="B50" s="180">
        <f>calculator_gdansk!$C$14</f>
        <v>15</v>
      </c>
      <c r="C50" s="180">
        <f t="shared" si="0"/>
        <v>10</v>
      </c>
      <c r="D50" s="140">
        <f t="shared" si="6"/>
        <v>3</v>
      </c>
      <c r="E50" s="140">
        <f t="shared" si="2"/>
        <v>7</v>
      </c>
      <c r="F50" s="180">
        <f>IF(D50&lt;=0,C50*E32,0)</f>
        <v>0</v>
      </c>
      <c r="G50" s="180">
        <f>IF(D50&gt;=1,D50*E33+M50,0)</f>
        <v>620</v>
      </c>
      <c r="H50" s="180">
        <f t="shared" si="3"/>
        <v>620</v>
      </c>
      <c r="I50" s="140">
        <v>5</v>
      </c>
      <c r="J50" s="144">
        <f>calculator_gdansk!$B$12+database_gdansk!I50-1</f>
        <v>44566</v>
      </c>
      <c r="K50" s="144">
        <f>IF(E50=0,database_gdansk!J50+database_gdansk!C50,database_gdansk!J50+database_gdansk!E50)</f>
        <v>44573</v>
      </c>
      <c r="L50" s="140">
        <f t="shared" si="4"/>
        <v>371</v>
      </c>
      <c r="M50" s="140">
        <f>E32*7</f>
        <v>371</v>
      </c>
      <c r="N50" s="140">
        <f t="shared" si="5"/>
        <v>249</v>
      </c>
      <c r="O50" s="178">
        <f>E32</f>
        <v>53</v>
      </c>
      <c r="P50" s="178">
        <f>E33</f>
        <v>83</v>
      </c>
    </row>
    <row r="51" spans="1:16" s="108" customFormat="1" ht="57" thickBot="1">
      <c r="A51" s="179" t="s">
        <v>73</v>
      </c>
      <c r="B51" s="180">
        <f>calculator_gdansk!$C$14</f>
        <v>15</v>
      </c>
      <c r="C51" s="180">
        <f t="shared" si="0"/>
        <v>10</v>
      </c>
      <c r="D51" s="140">
        <f t="shared" si="6"/>
        <v>3</v>
      </c>
      <c r="E51" s="140">
        <f t="shared" si="2"/>
        <v>7</v>
      </c>
      <c r="F51" s="180">
        <f>IF(D51&lt;=0,C51*E35,0)</f>
        <v>0</v>
      </c>
      <c r="G51" s="180">
        <f>IF(D51&gt;=1,D51*E24+M51,0)</f>
        <v>160</v>
      </c>
      <c r="H51" s="180">
        <f t="shared" si="3"/>
        <v>160</v>
      </c>
      <c r="I51" s="140">
        <v>5</v>
      </c>
      <c r="J51" s="144">
        <f>calculator_gdansk!$B$12+database_gdansk!I51-1</f>
        <v>44566</v>
      </c>
      <c r="K51" s="144">
        <f>IF(E51=0,database_gdansk!J51+database_gdansk!C51,database_gdansk!J51+database_gdansk!E51)</f>
        <v>44573</v>
      </c>
      <c r="L51" s="140">
        <f t="shared" si="4"/>
        <v>91</v>
      </c>
      <c r="M51" s="140">
        <f>E23*7</f>
        <v>91</v>
      </c>
      <c r="N51" s="140">
        <f>IF(G51=0,G51,G51-M51)</f>
        <v>69</v>
      </c>
      <c r="O51" s="178">
        <f>E23</f>
        <v>13</v>
      </c>
      <c r="P51" s="178">
        <f>E24</f>
        <v>23</v>
      </c>
    </row>
    <row r="52" spans="1:16" s="108" customFormat="1" ht="56.25">
      <c r="A52" s="179" t="s">
        <v>74</v>
      </c>
      <c r="B52" s="180">
        <f>calculator_gdansk!$C$14</f>
        <v>15</v>
      </c>
      <c r="C52" s="180">
        <f t="shared" si="0"/>
        <v>10</v>
      </c>
      <c r="D52" s="140">
        <f t="shared" si="6"/>
        <v>3</v>
      </c>
      <c r="E52" s="140">
        <f t="shared" si="2"/>
        <v>7</v>
      </c>
      <c r="F52" s="180">
        <f>IF(D52&lt;=0,C52*E37,0)</f>
        <v>0</v>
      </c>
      <c r="G52" s="180">
        <f>IF(D52&gt;=1,D52*E27+M52,0)</f>
        <v>160</v>
      </c>
      <c r="H52" s="180">
        <f t="shared" si="3"/>
        <v>160</v>
      </c>
      <c r="I52" s="140">
        <v>5</v>
      </c>
      <c r="J52" s="144">
        <f>calculator_gdansk!$B$12+database_gdansk!I52-1</f>
        <v>44566</v>
      </c>
      <c r="K52" s="144">
        <f>IF(E52=0,database_gdansk!J52+database_gdansk!C52,database_gdansk!J52+database_gdansk!E52)</f>
        <v>44573</v>
      </c>
      <c r="L52" s="140">
        <f t="shared" si="4"/>
        <v>91</v>
      </c>
      <c r="M52" s="140">
        <f>E26*7</f>
        <v>91</v>
      </c>
      <c r="N52" s="140">
        <f>IF(G52=0,G52,G52-M52)</f>
        <v>69</v>
      </c>
      <c r="O52" s="178">
        <f>E26</f>
        <v>13</v>
      </c>
      <c r="P52" s="178">
        <f>E27</f>
        <v>23</v>
      </c>
    </row>
    <row r="54" ht="12.75">
      <c r="B54" s="64"/>
    </row>
    <row r="55" ht="12.75">
      <c r="A55" s="139" t="s">
        <v>93</v>
      </c>
    </row>
    <row r="56" spans="1:16" ht="12.75">
      <c r="A56" s="23" t="s">
        <v>118</v>
      </c>
      <c r="B56" s="134">
        <f>calculator_gdansk!$C$13</f>
        <v>11</v>
      </c>
      <c r="C56" s="134">
        <f aca="true" t="shared" si="7" ref="C56:C67">B56-I56</f>
        <v>2</v>
      </c>
      <c r="D56" s="133">
        <f>C56-7</f>
        <v>-5</v>
      </c>
      <c r="E56" s="134">
        <f aca="true" t="shared" si="8" ref="E56:E67">IF(D56&gt;=0,C56-D56,0)</f>
        <v>0</v>
      </c>
      <c r="F56" s="134">
        <f aca="true" t="shared" si="9" ref="F56:F67">IF(D56&lt;=0,C56*O56,0)</f>
        <v>40</v>
      </c>
      <c r="G56" s="134">
        <f aca="true" t="shared" si="10" ref="G56:G67">IF(D56&gt;=1,D56*P56+M56,0)</f>
        <v>0</v>
      </c>
      <c r="H56" s="134">
        <f aca="true" t="shared" si="11" ref="H56:H67">F56+G56</f>
        <v>40</v>
      </c>
      <c r="I56" s="133">
        <v>9</v>
      </c>
      <c r="J56" s="141">
        <f>calculator_gdansk!$B$13+database_gdansk!I56-1</f>
        <v>44584</v>
      </c>
      <c r="K56" s="137">
        <f>IF(E56=0,database_gdansk!J56+database_gdansk!C56,database_gdansk!J56+database_gdansk!E56)</f>
        <v>44586</v>
      </c>
      <c r="L56" s="134">
        <f aca="true" t="shared" si="12" ref="L56:L67">IF(F56=0,M56,F56)</f>
        <v>40</v>
      </c>
      <c r="M56" s="134">
        <f aca="true" t="shared" si="13" ref="M56:M67">O56*7</f>
        <v>140</v>
      </c>
      <c r="N56" s="134">
        <f aca="true" t="shared" si="14" ref="N56:N67">IF(G56=0,G56,G56-M56)</f>
        <v>0</v>
      </c>
      <c r="O56" s="134">
        <f>$J$12</f>
        <v>20</v>
      </c>
      <c r="P56" s="134">
        <f>$J$13</f>
        <v>30</v>
      </c>
    </row>
    <row r="57" spans="1:16" ht="12.75">
      <c r="A57" s="23" t="s">
        <v>124</v>
      </c>
      <c r="B57" s="134">
        <f>calculator_gdansk!$C$13</f>
        <v>11</v>
      </c>
      <c r="C57" s="134">
        <f t="shared" si="7"/>
        <v>2</v>
      </c>
      <c r="D57" s="133">
        <f aca="true" t="shared" si="15" ref="D57:D67">C57-7</f>
        <v>-5</v>
      </c>
      <c r="E57" s="134">
        <f t="shared" si="8"/>
        <v>0</v>
      </c>
      <c r="F57" s="134">
        <f t="shared" si="9"/>
        <v>40</v>
      </c>
      <c r="G57" s="134">
        <f t="shared" si="10"/>
        <v>0</v>
      </c>
      <c r="H57" s="134">
        <f t="shared" si="11"/>
        <v>40</v>
      </c>
      <c r="I57" s="133">
        <v>9</v>
      </c>
      <c r="J57" s="141">
        <f>calculator_gdansk!$B$13+database_gdansk!I57-1</f>
        <v>44584</v>
      </c>
      <c r="K57" s="137">
        <f>IF(E57=0,database_gdansk!J57+database_gdansk!C57,database_gdansk!J57+database_gdansk!E57)</f>
        <v>44586</v>
      </c>
      <c r="L57" s="134">
        <f t="shared" si="12"/>
        <v>40</v>
      </c>
      <c r="M57" s="134">
        <f t="shared" si="13"/>
        <v>140</v>
      </c>
      <c r="N57" s="134">
        <f t="shared" si="14"/>
        <v>0</v>
      </c>
      <c r="O57" s="134">
        <f>$J$12</f>
        <v>20</v>
      </c>
      <c r="P57" s="134">
        <f>$J$13</f>
        <v>30</v>
      </c>
    </row>
    <row r="58" spans="1:16" ht="12.75">
      <c r="A58" s="23" t="s">
        <v>119</v>
      </c>
      <c r="B58" s="134">
        <f>calculator_gdansk!$C$13</f>
        <v>11</v>
      </c>
      <c r="C58" s="134">
        <f t="shared" si="7"/>
        <v>2</v>
      </c>
      <c r="D58" s="133">
        <f t="shared" si="15"/>
        <v>-5</v>
      </c>
      <c r="E58" s="134">
        <f t="shared" si="8"/>
        <v>0</v>
      </c>
      <c r="F58" s="134">
        <f t="shared" si="9"/>
        <v>40</v>
      </c>
      <c r="G58" s="134">
        <f t="shared" si="10"/>
        <v>0</v>
      </c>
      <c r="H58" s="134">
        <f t="shared" si="11"/>
        <v>40</v>
      </c>
      <c r="I58" s="133">
        <v>9</v>
      </c>
      <c r="J58" s="141">
        <f>calculator_gdansk!$B$13+database_gdansk!I58-1</f>
        <v>44584</v>
      </c>
      <c r="K58" s="137">
        <f>IF(E58=0,database_gdansk!J58+database_gdansk!C58,database_gdansk!J58+database_gdansk!E58)</f>
        <v>44586</v>
      </c>
      <c r="L58" s="134">
        <f t="shared" si="12"/>
        <v>40</v>
      </c>
      <c r="M58" s="134">
        <f t="shared" si="13"/>
        <v>140</v>
      </c>
      <c r="N58" s="134">
        <f t="shared" si="14"/>
        <v>0</v>
      </c>
      <c r="O58" s="134">
        <f>$J$14</f>
        <v>20</v>
      </c>
      <c r="P58" s="134">
        <f>$J$15</f>
        <v>30</v>
      </c>
    </row>
    <row r="59" spans="1:16" ht="12.75">
      <c r="A59" s="23" t="s">
        <v>125</v>
      </c>
      <c r="B59" s="134">
        <f>calculator_gdansk!$C$13</f>
        <v>11</v>
      </c>
      <c r="C59" s="134">
        <f t="shared" si="7"/>
        <v>2</v>
      </c>
      <c r="D59" s="133">
        <f t="shared" si="15"/>
        <v>-5</v>
      </c>
      <c r="E59" s="134">
        <f t="shared" si="8"/>
        <v>0</v>
      </c>
      <c r="F59" s="134">
        <f t="shared" si="9"/>
        <v>40</v>
      </c>
      <c r="G59" s="134">
        <f t="shared" si="10"/>
        <v>0</v>
      </c>
      <c r="H59" s="134">
        <f t="shared" si="11"/>
        <v>40</v>
      </c>
      <c r="I59" s="133">
        <v>9</v>
      </c>
      <c r="J59" s="141">
        <f>calculator_gdansk!$B$13+database_gdansk!I59-1</f>
        <v>44584</v>
      </c>
      <c r="K59" s="137">
        <f>IF(E59=0,database_gdansk!J59+database_gdansk!C59,database_gdansk!J59+database_gdansk!E59)</f>
        <v>44586</v>
      </c>
      <c r="L59" s="134">
        <f t="shared" si="12"/>
        <v>40</v>
      </c>
      <c r="M59" s="134">
        <f t="shared" si="13"/>
        <v>140</v>
      </c>
      <c r="N59" s="134">
        <f t="shared" si="14"/>
        <v>0</v>
      </c>
      <c r="O59" s="134">
        <f>$J$14</f>
        <v>20</v>
      </c>
      <c r="P59" s="134">
        <f>$J$15</f>
        <v>30</v>
      </c>
    </row>
    <row r="60" spans="1:16" ht="12.75">
      <c r="A60" s="23" t="s">
        <v>120</v>
      </c>
      <c r="B60" s="134">
        <f>calculator_gdansk!$C$13</f>
        <v>11</v>
      </c>
      <c r="C60" s="134">
        <f t="shared" si="7"/>
        <v>4</v>
      </c>
      <c r="D60" s="133">
        <f t="shared" si="15"/>
        <v>-3</v>
      </c>
      <c r="E60" s="134">
        <f t="shared" si="8"/>
        <v>0</v>
      </c>
      <c r="F60" s="134">
        <f t="shared" si="9"/>
        <v>280</v>
      </c>
      <c r="G60" s="134">
        <f t="shared" si="10"/>
        <v>0</v>
      </c>
      <c r="H60" s="134">
        <f t="shared" si="11"/>
        <v>280</v>
      </c>
      <c r="I60" s="133">
        <v>7</v>
      </c>
      <c r="J60" s="141">
        <f>calculator_gdansk!$B$13+database_gdansk!I60-1</f>
        <v>44582</v>
      </c>
      <c r="K60" s="137">
        <f>IF(E60=0,database_gdansk!J60+database_gdansk!C60,database_gdansk!J60+database_gdansk!E60)</f>
        <v>44586</v>
      </c>
      <c r="L60" s="134">
        <f t="shared" si="12"/>
        <v>280</v>
      </c>
      <c r="M60" s="134">
        <f t="shared" si="13"/>
        <v>490</v>
      </c>
      <c r="N60" s="134">
        <f t="shared" si="14"/>
        <v>0</v>
      </c>
      <c r="O60" s="134">
        <f>$J$16</f>
        <v>70</v>
      </c>
      <c r="P60" s="134">
        <f>$J$17</f>
        <v>110</v>
      </c>
    </row>
    <row r="61" spans="1:16" ht="12.75">
      <c r="A61" s="23" t="s">
        <v>126</v>
      </c>
      <c r="B61" s="134">
        <f>calculator_gdansk!$C$13</f>
        <v>11</v>
      </c>
      <c r="C61" s="134">
        <f t="shared" si="7"/>
        <v>4</v>
      </c>
      <c r="D61" s="133">
        <f t="shared" si="15"/>
        <v>-3</v>
      </c>
      <c r="E61" s="134">
        <f t="shared" si="8"/>
        <v>0</v>
      </c>
      <c r="F61" s="134">
        <f t="shared" si="9"/>
        <v>280</v>
      </c>
      <c r="G61" s="134">
        <f t="shared" si="10"/>
        <v>0</v>
      </c>
      <c r="H61" s="134">
        <f t="shared" si="11"/>
        <v>280</v>
      </c>
      <c r="I61" s="133">
        <v>7</v>
      </c>
      <c r="J61" s="141">
        <f>calculator_gdansk!$B$13+database_gdansk!I61-1</f>
        <v>44582</v>
      </c>
      <c r="K61" s="137">
        <f>IF(E61=0,database_gdansk!J61+database_gdansk!C61,database_gdansk!J61+database_gdansk!E61)</f>
        <v>44586</v>
      </c>
      <c r="L61" s="134">
        <f t="shared" si="12"/>
        <v>280</v>
      </c>
      <c r="M61" s="134">
        <f t="shared" si="13"/>
        <v>490</v>
      </c>
      <c r="N61" s="134">
        <f t="shared" si="14"/>
        <v>0</v>
      </c>
      <c r="O61" s="134">
        <f>$J$16</f>
        <v>70</v>
      </c>
      <c r="P61" s="134">
        <f>$J$17</f>
        <v>110</v>
      </c>
    </row>
    <row r="62" spans="1:16" ht="12.75">
      <c r="A62" s="23" t="s">
        <v>121</v>
      </c>
      <c r="B62" s="134">
        <f>calculator_gdansk!$C$13</f>
        <v>11</v>
      </c>
      <c r="C62" s="134">
        <f t="shared" si="7"/>
        <v>4</v>
      </c>
      <c r="D62" s="133">
        <f t="shared" si="15"/>
        <v>-3</v>
      </c>
      <c r="E62" s="134">
        <f t="shared" si="8"/>
        <v>0</v>
      </c>
      <c r="F62" s="134">
        <f t="shared" si="9"/>
        <v>280</v>
      </c>
      <c r="G62" s="134">
        <f t="shared" si="10"/>
        <v>0</v>
      </c>
      <c r="H62" s="134">
        <f t="shared" si="11"/>
        <v>280</v>
      </c>
      <c r="I62" s="133">
        <v>7</v>
      </c>
      <c r="J62" s="141">
        <f>calculator_gdansk!$B$13+database_gdansk!I62-1</f>
        <v>44582</v>
      </c>
      <c r="K62" s="137">
        <f>IF(E62=0,database_gdansk!J62+database_gdansk!C62,database_gdansk!J62+database_gdansk!E62)</f>
        <v>44586</v>
      </c>
      <c r="L62" s="134">
        <f t="shared" si="12"/>
        <v>280</v>
      </c>
      <c r="M62" s="134">
        <f t="shared" si="13"/>
        <v>490</v>
      </c>
      <c r="N62" s="134">
        <f t="shared" si="14"/>
        <v>0</v>
      </c>
      <c r="O62" s="134">
        <f>$J$18</f>
        <v>70</v>
      </c>
      <c r="P62" s="134">
        <f>$J$19</f>
        <v>110</v>
      </c>
    </row>
    <row r="63" spans="1:16" ht="12.75">
      <c r="A63" s="23" t="s">
        <v>127</v>
      </c>
      <c r="B63" s="134">
        <f>calculator_gdansk!$C$13</f>
        <v>11</v>
      </c>
      <c r="C63" s="134">
        <f t="shared" si="7"/>
        <v>4</v>
      </c>
      <c r="D63" s="133">
        <f t="shared" si="15"/>
        <v>-3</v>
      </c>
      <c r="E63" s="134">
        <f t="shared" si="8"/>
        <v>0</v>
      </c>
      <c r="F63" s="134">
        <f t="shared" si="9"/>
        <v>280</v>
      </c>
      <c r="G63" s="134">
        <f t="shared" si="10"/>
        <v>0</v>
      </c>
      <c r="H63" s="134">
        <f t="shared" si="11"/>
        <v>280</v>
      </c>
      <c r="I63" s="133">
        <v>7</v>
      </c>
      <c r="J63" s="141">
        <f>calculator_gdansk!$B$13+database_gdansk!I63-1</f>
        <v>44582</v>
      </c>
      <c r="K63" s="137">
        <f>IF(E63=0,database_gdansk!J63+database_gdansk!C63,database_gdansk!J63+database_gdansk!E63)</f>
        <v>44586</v>
      </c>
      <c r="L63" s="134">
        <f t="shared" si="12"/>
        <v>280</v>
      </c>
      <c r="M63" s="134">
        <f t="shared" si="13"/>
        <v>490</v>
      </c>
      <c r="N63" s="134">
        <f t="shared" si="14"/>
        <v>0</v>
      </c>
      <c r="O63" s="134">
        <f>$J$18</f>
        <v>70</v>
      </c>
      <c r="P63" s="134">
        <f>$J$19</f>
        <v>110</v>
      </c>
    </row>
    <row r="64" spans="1:16" ht="12.75">
      <c r="A64" s="23" t="s">
        <v>122</v>
      </c>
      <c r="B64" s="134">
        <f>calculator_gdansk!$C$13</f>
        <v>11</v>
      </c>
      <c r="C64" s="134">
        <f t="shared" si="7"/>
        <v>4</v>
      </c>
      <c r="D64" s="133">
        <f t="shared" si="15"/>
        <v>-3</v>
      </c>
      <c r="E64" s="134">
        <f t="shared" si="8"/>
        <v>0</v>
      </c>
      <c r="F64" s="134">
        <f t="shared" si="9"/>
        <v>280</v>
      </c>
      <c r="G64" s="134">
        <f t="shared" si="10"/>
        <v>0</v>
      </c>
      <c r="H64" s="134">
        <f t="shared" si="11"/>
        <v>280</v>
      </c>
      <c r="I64" s="133">
        <v>7</v>
      </c>
      <c r="J64" s="141">
        <f>calculator_gdansk!$B$13+database_gdansk!I64-1</f>
        <v>44582</v>
      </c>
      <c r="K64" s="137">
        <f>IF(E64=0,database_gdansk!J64+database_gdansk!C64,database_gdansk!J64+database_gdansk!E64)</f>
        <v>44586</v>
      </c>
      <c r="L64" s="134">
        <f t="shared" si="12"/>
        <v>280</v>
      </c>
      <c r="M64" s="134">
        <f t="shared" si="13"/>
        <v>490</v>
      </c>
      <c r="N64" s="134">
        <f t="shared" si="14"/>
        <v>0</v>
      </c>
      <c r="O64" s="134">
        <f>$J$16</f>
        <v>70</v>
      </c>
      <c r="P64" s="134">
        <f>$J$17</f>
        <v>110</v>
      </c>
    </row>
    <row r="65" spans="1:16" ht="12.75">
      <c r="A65" s="23" t="s">
        <v>128</v>
      </c>
      <c r="B65" s="134">
        <f>calculator_gdansk!$C$13</f>
        <v>11</v>
      </c>
      <c r="C65" s="134">
        <f t="shared" si="7"/>
        <v>4</v>
      </c>
      <c r="D65" s="133">
        <f t="shared" si="15"/>
        <v>-3</v>
      </c>
      <c r="E65" s="134">
        <f t="shared" si="8"/>
        <v>0</v>
      </c>
      <c r="F65" s="134">
        <f t="shared" si="9"/>
        <v>280</v>
      </c>
      <c r="G65" s="134">
        <f t="shared" si="10"/>
        <v>0</v>
      </c>
      <c r="H65" s="134">
        <f t="shared" si="11"/>
        <v>280</v>
      </c>
      <c r="I65" s="133">
        <v>7</v>
      </c>
      <c r="J65" s="141">
        <f>calculator_gdansk!$B$13+database_gdansk!I65-1</f>
        <v>44582</v>
      </c>
      <c r="K65" s="137">
        <f>IF(E65=0,database_gdansk!J65+database_gdansk!C65,database_gdansk!J65+database_gdansk!E65)</f>
        <v>44586</v>
      </c>
      <c r="L65" s="134">
        <f t="shared" si="12"/>
        <v>280</v>
      </c>
      <c r="M65" s="134">
        <f t="shared" si="13"/>
        <v>490</v>
      </c>
      <c r="N65" s="134">
        <f t="shared" si="14"/>
        <v>0</v>
      </c>
      <c r="O65" s="134">
        <f>$J$16</f>
        <v>70</v>
      </c>
      <c r="P65" s="134">
        <f>$J$17</f>
        <v>110</v>
      </c>
    </row>
    <row r="66" spans="1:16" ht="12.75">
      <c r="A66" s="23" t="s">
        <v>123</v>
      </c>
      <c r="B66" s="134">
        <f>calculator_gdansk!$C$13</f>
        <v>11</v>
      </c>
      <c r="C66" s="134">
        <f t="shared" si="7"/>
        <v>4</v>
      </c>
      <c r="D66" s="133">
        <f t="shared" si="15"/>
        <v>-3</v>
      </c>
      <c r="E66" s="134">
        <f t="shared" si="8"/>
        <v>0</v>
      </c>
      <c r="F66" s="134">
        <f t="shared" si="9"/>
        <v>280</v>
      </c>
      <c r="G66" s="134">
        <f t="shared" si="10"/>
        <v>0</v>
      </c>
      <c r="H66" s="134">
        <f t="shared" si="11"/>
        <v>280</v>
      </c>
      <c r="I66" s="133">
        <v>7</v>
      </c>
      <c r="J66" s="141">
        <f>calculator_gdansk!$B$13+database_gdansk!I66-1</f>
        <v>44582</v>
      </c>
      <c r="K66" s="137">
        <f>IF(E66=0,database_gdansk!J66+database_gdansk!C66,database_gdansk!J66+database_gdansk!E66)</f>
        <v>44586</v>
      </c>
      <c r="L66" s="134">
        <f t="shared" si="12"/>
        <v>280</v>
      </c>
      <c r="M66" s="134">
        <f t="shared" si="13"/>
        <v>490</v>
      </c>
      <c r="N66" s="134">
        <f t="shared" si="14"/>
        <v>0</v>
      </c>
      <c r="O66" s="134">
        <f>$J$18</f>
        <v>70</v>
      </c>
      <c r="P66" s="134">
        <f>$J$19</f>
        <v>110</v>
      </c>
    </row>
    <row r="67" spans="1:16" ht="12.75">
      <c r="A67" s="23" t="s">
        <v>129</v>
      </c>
      <c r="B67" s="134">
        <f>calculator_gdansk!$C$13</f>
        <v>11</v>
      </c>
      <c r="C67" s="134">
        <f t="shared" si="7"/>
        <v>4</v>
      </c>
      <c r="D67" s="133">
        <f t="shared" si="15"/>
        <v>-3</v>
      </c>
      <c r="E67" s="134">
        <f t="shared" si="8"/>
        <v>0</v>
      </c>
      <c r="F67" s="134">
        <f t="shared" si="9"/>
        <v>280</v>
      </c>
      <c r="G67" s="134">
        <f t="shared" si="10"/>
        <v>0</v>
      </c>
      <c r="H67" s="134">
        <f t="shared" si="11"/>
        <v>280</v>
      </c>
      <c r="I67" s="133">
        <v>7</v>
      </c>
      <c r="J67" s="141">
        <f>calculator_gdansk!$B$13+database_gdansk!I67-1</f>
        <v>44582</v>
      </c>
      <c r="K67" s="137">
        <f>IF(E67=0,database_gdansk!J67+database_gdansk!C67,database_gdansk!J67+database_gdansk!E67)</f>
        <v>44586</v>
      </c>
      <c r="L67" s="134">
        <f t="shared" si="12"/>
        <v>280</v>
      </c>
      <c r="M67" s="134">
        <f t="shared" si="13"/>
        <v>490</v>
      </c>
      <c r="N67" s="134">
        <f t="shared" si="14"/>
        <v>0</v>
      </c>
      <c r="O67" s="134">
        <f>$J$18</f>
        <v>70</v>
      </c>
      <c r="P67" s="134">
        <f>$J$19</f>
        <v>110</v>
      </c>
    </row>
    <row r="70" ht="12.75">
      <c r="A70" s="139" t="s">
        <v>107</v>
      </c>
    </row>
    <row r="71" spans="1:12" ht="12.75">
      <c r="A71" s="130" t="s">
        <v>108</v>
      </c>
      <c r="B71" s="134">
        <f>calculator_gdansk!$C$14</f>
        <v>15</v>
      </c>
      <c r="C71" s="134">
        <f>B71-I71</f>
        <v>13</v>
      </c>
      <c r="I71" s="130">
        <v>2</v>
      </c>
      <c r="J71" s="137">
        <f>calculator_gdansk!$B$12+database_gdansk!I71</f>
        <v>44564</v>
      </c>
      <c r="K71" s="137">
        <f>IF(E71=0,database_gdansk!J71+database_gdansk!C71,database_gdansk!J71+database_gdansk!E71)</f>
        <v>44577</v>
      </c>
      <c r="L71" s="134">
        <f>IF(F71=0,M71,F71)</f>
        <v>0</v>
      </c>
    </row>
  </sheetData>
  <sheetProtection selectLockedCells="1"/>
  <mergeCells count="4">
    <mergeCell ref="A2:G2"/>
    <mergeCell ref="H12:H15"/>
    <mergeCell ref="H16:H19"/>
    <mergeCell ref="A21:G21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0"/>
  <sheetViews>
    <sheetView showGridLines="0" showRowColHeaders="0" zoomScalePageLayoutView="0" workbookViewId="0" topLeftCell="A1">
      <selection activeCell="A7" sqref="A7:D7"/>
    </sheetView>
  </sheetViews>
  <sheetFormatPr defaultColWidth="9.140625" defaultRowHeight="12.75"/>
  <cols>
    <col min="1" max="1" width="34.8515625" style="0" customWidth="1"/>
    <col min="2" max="2" width="104.7109375" style="0" bestFit="1" customWidth="1"/>
    <col min="3" max="3" width="10.140625" style="0" bestFit="1" customWidth="1"/>
  </cols>
  <sheetData>
    <row r="1" ht="12.75">
      <c r="A1" s="74">
        <v>2013</v>
      </c>
    </row>
    <row r="4" spans="1:4" ht="12.75">
      <c r="A4" s="91"/>
      <c r="B4" s="92"/>
      <c r="D4" s="106" t="s">
        <v>136</v>
      </c>
    </row>
    <row r="5" spans="1:4" ht="12.75">
      <c r="A5" s="93"/>
      <c r="B5" s="92"/>
      <c r="C5" s="92"/>
      <c r="D5" s="92"/>
    </row>
    <row r="6" spans="1:4" ht="18.75" customHeight="1" thickBot="1">
      <c r="A6" s="186" t="s">
        <v>132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 customHeight="1">
      <c r="A8" s="187"/>
      <c r="B8" s="188"/>
      <c r="C8" s="188"/>
      <c r="D8" s="188"/>
    </row>
    <row r="9" spans="1:4" ht="18">
      <c r="A9" s="59" t="s">
        <v>102</v>
      </c>
      <c r="B9" s="29"/>
      <c r="C9" s="29"/>
      <c r="D9" s="29"/>
    </row>
    <row r="10" spans="1:4" ht="18">
      <c r="A1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154">
        <f>B14-B12+1</f>
        <v>25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52</v>
      </c>
      <c r="C18" s="66"/>
      <c r="D18" s="64"/>
    </row>
    <row r="19" spans="1:4" ht="13.5" thickBot="1">
      <c r="A19" s="77"/>
      <c r="B19" s="24" t="str">
        <f>CONCATENATE(B18,B17)</f>
        <v>Germany, Belgium, Netherlands, France, Ireland, Scandinavia40' standard</v>
      </c>
      <c r="C19" s="64"/>
      <c r="D19" s="64"/>
    </row>
    <row r="20" spans="1:5" ht="14.25" thickBot="1" thickTop="1">
      <c r="A20" s="81">
        <f>IF(B36&lt;&gt;"FREE",_xlfn.IFERROR(VLOOKUP(B19,database!A40:I52,9,FALSE),"not found in tariff database"),"FREE")</f>
        <v>10</v>
      </c>
      <c r="B20" s="82">
        <f>_xlfn.IFERROR(VLOOKUP(B19,database!A40:H52,8,FALSE),"not found in tariff database")</f>
        <v>995</v>
      </c>
      <c r="C20" s="83"/>
      <c r="D20" s="83"/>
      <c r="E20" s="83"/>
    </row>
    <row r="21" spans="1:4" ht="27.75" customHeight="1" thickBot="1">
      <c r="A21" s="78" t="s">
        <v>94</v>
      </c>
      <c r="B21" s="104" t="s">
        <v>171</v>
      </c>
      <c r="C21" s="64"/>
      <c r="D21" s="64"/>
    </row>
    <row r="22" spans="1:4" ht="12.75">
      <c r="A22" s="52" t="s">
        <v>89</v>
      </c>
      <c r="B22" s="50" t="str">
        <f>IF(B36&lt;&gt;"FREE",_xlfn.IFERROR(VLOOKUP(B19,database!A40:I52,9,FALSE),"not found in tariff database"),"FREE")&amp;" days"</f>
        <v>10 days</v>
      </c>
      <c r="C22" s="64"/>
      <c r="D22" s="64"/>
    </row>
    <row r="23" spans="1:4" ht="12.75">
      <c r="A23" s="53" t="s">
        <v>91</v>
      </c>
      <c r="B23" s="49" t="str">
        <f>C14-A20&amp;" days"</f>
        <v>15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44572</v>
      </c>
      <c r="C25" s="67">
        <f>_xlfn.IFERROR(VLOOKUP(B19,database!A40:J52,10,FALSE),"not found in tariff database")</f>
        <v>44571</v>
      </c>
      <c r="D25" s="64"/>
    </row>
    <row r="26" spans="1:4" ht="12.75">
      <c r="A26" s="44" t="s">
        <v>87</v>
      </c>
      <c r="B26" s="45">
        <f>IF(C26&gt;B14,"x",C26)</f>
        <v>44578</v>
      </c>
      <c r="C26" s="68">
        <f>IF(B36="FREE","FREE",_xlfn.IFERROR(VLOOKUP(B19,database!A40:K52,11,FALSE),"not found in tariff database"))</f>
        <v>44578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IF(B36="FREE",0,_xlfn.IFERROR(VLOOKUP(B19,database!A40:O52,15,FALSE),"not found in tariff database"))</f>
        <v>45</v>
      </c>
      <c r="C28" s="68"/>
      <c r="D28" s="64"/>
    </row>
    <row r="29" spans="1:4" ht="12.75">
      <c r="A29" s="51" t="s">
        <v>85</v>
      </c>
      <c r="B29" s="41">
        <f>IF(B36="FREE",0,_xlfn.IFERROR(VLOOKUP(B19,database!A40:L52,12,FALSE),"not found in tariff database"))</f>
        <v>315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44579</v>
      </c>
      <c r="C31" s="64"/>
      <c r="D31" s="64"/>
    </row>
    <row r="32" spans="1:4" ht="12.75">
      <c r="A32" s="44" t="s">
        <v>87</v>
      </c>
      <c r="B32" s="45">
        <f>IF(B14&lt;=B26,"x",B14)</f>
        <v>44586</v>
      </c>
      <c r="C32" s="64"/>
      <c r="D32" s="64"/>
    </row>
    <row r="33" spans="1:4" ht="12.75">
      <c r="A33" s="55" t="s">
        <v>90</v>
      </c>
      <c r="B33" s="48">
        <f>_xlfn.IFERROR((B32+1)-B31,"x")</f>
        <v>8</v>
      </c>
      <c r="C33" s="64"/>
      <c r="D33" s="64"/>
    </row>
    <row r="34" spans="1:4" ht="12.75">
      <c r="A34" s="46" t="s">
        <v>81</v>
      </c>
      <c r="B34" s="47">
        <f>IF(B36="FREE",0,_xlfn.IFERROR(VLOOKUP(B19,database!A40:P52,16,FALSE),"not found in tariff database"))</f>
        <v>85</v>
      </c>
      <c r="C34" s="64"/>
      <c r="D34" s="64"/>
    </row>
    <row r="35" spans="1:4" ht="13.5" thickBot="1">
      <c r="A35" s="51" t="s">
        <v>86</v>
      </c>
      <c r="B35" s="43">
        <f>_xlfn.IFERROR(VLOOKUP(B19,database!A40:N52,14,FALSE),"not found in tariff database")</f>
        <v>680</v>
      </c>
      <c r="C35" s="64"/>
      <c r="D35" s="64"/>
    </row>
    <row r="36" spans="1:4" ht="16.5" thickBot="1">
      <c r="A36" s="57" t="s">
        <v>99</v>
      </c>
      <c r="B36" s="58">
        <f>IF(B20&gt;0,B20,"FREE")</f>
        <v>995</v>
      </c>
      <c r="C36" s="69"/>
      <c r="D36" s="64"/>
    </row>
    <row r="37" ht="12.75">
      <c r="B37" s="24" t="str">
        <f>CONCATENATE(C15,B15)</f>
        <v>40' standardNein</v>
      </c>
    </row>
    <row r="38" spans="1:2" ht="13.5" thickBot="1">
      <c r="A38" s="24">
        <f>IF(B54&lt;&gt;"FREE",_xlfn.IFERROR(VLOOKUP(B37,database!A56:I67,9,FALSE),"not found in tariff database"),"FREE")</f>
        <v>6</v>
      </c>
      <c r="B38" s="24">
        <f>_xlfn.IFERROR(VLOOKUP(B37,database!A56:H67,8,FALSE),"not found in tariff database")</f>
        <v>353</v>
      </c>
    </row>
    <row r="39" spans="1:2" ht="13.5" thickBot="1">
      <c r="A39" s="78" t="s">
        <v>95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IF(B54&lt;&gt;"FREE",_xlfn.IFERROR(VLOOKUP(B37,database!A56:I67,9,FALSE),"not found in tariff database"),"FREE")&amp;" days"</f>
        <v>6 days</v>
      </c>
    </row>
    <row r="41" spans="1:2" ht="12.75">
      <c r="A41" s="53" t="s">
        <v>101</v>
      </c>
      <c r="B41" s="49" t="str">
        <f>C13-A38&amp;" days"</f>
        <v>5 days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>
        <f>IF(B54&lt;&gt;"FREE",C43+1,"FREE")</f>
        <v>44582</v>
      </c>
      <c r="C43" s="68">
        <f>_xlfn.IFERROR(VLOOKUP(B37,database!A56:J67,10,FALSE),"not found in tariff database")</f>
        <v>44581</v>
      </c>
    </row>
    <row r="44" spans="1:3" ht="12.75">
      <c r="A44" s="44" t="s">
        <v>87</v>
      </c>
      <c r="B44" s="45">
        <f>IF(C44&gt;B14,"x",C44)</f>
        <v>44586</v>
      </c>
      <c r="C44" s="68">
        <f>IF(B54="FREE","FREE",_xlfn.IFERROR(VLOOKUP(B37,database!A56:K67,11,FALSE),"not found in tariff database"))</f>
        <v>44586</v>
      </c>
    </row>
    <row r="45" spans="1:2" ht="12.75">
      <c r="A45" s="55" t="s">
        <v>90</v>
      </c>
      <c r="B45" s="48">
        <f>(B44+1)-B43</f>
        <v>5</v>
      </c>
    </row>
    <row r="46" spans="1:2" ht="12.75">
      <c r="A46" s="46" t="s">
        <v>82</v>
      </c>
      <c r="B46" s="47">
        <f>IF(B54="FREE",0,_xlfn.IFERROR(VLOOKUP(B37,database!A56:O67,15,FALSE),"not found in tariff database"))</f>
        <v>70.6</v>
      </c>
    </row>
    <row r="47" spans="1:2" ht="12.75">
      <c r="A47" s="51" t="s">
        <v>85</v>
      </c>
      <c r="B47" s="41">
        <f>IF(B54="FREE",0,_xlfn.IFERROR(VLOOKUP(B37,database!A56:L67,12,FALSE),"not found in tariff database"))</f>
        <v>353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 t="str">
        <f>IF(OR(B50="x",B50&lt;=B44),"x",B44+1)</f>
        <v>x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 t="str">
        <f>_xlfn.IFERROR((B50+1)-B49,"x")</f>
        <v>x</v>
      </c>
    </row>
    <row r="52" spans="1:2" ht="12.75">
      <c r="A52" s="46" t="s">
        <v>81</v>
      </c>
      <c r="B52" s="47">
        <f>IF(B54="FREE",0,_xlfn.IFERROR(VLOOKUP(B37,database!A56:P67,16,FALSE),"not found in tariff database"))</f>
        <v>141.2</v>
      </c>
    </row>
    <row r="53" spans="1:2" ht="13.5" thickBot="1">
      <c r="A53" s="51" t="s">
        <v>86</v>
      </c>
      <c r="B53" s="43">
        <f>_xlfn.IFERROR(VLOOKUP(B37,database!A56:N67,14,FALSE),"not found in tariff database")</f>
        <v>0</v>
      </c>
    </row>
    <row r="54" spans="1:2" ht="16.5" thickBot="1">
      <c r="A54" s="57" t="s">
        <v>100</v>
      </c>
      <c r="B54" s="58">
        <f>IF(B38&gt;0,B38,"FREE")</f>
        <v>353</v>
      </c>
    </row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24">
        <f>(B62-B61)+1</f>
        <v>9</v>
      </c>
    </row>
    <row r="60" spans="1:2" ht="12.75">
      <c r="A60" s="54" t="s">
        <v>110</v>
      </c>
      <c r="B60" s="40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IF(C17="reefer",C59*database!M11,"NOT APPLICABLE")</f>
        <v>NOT APPLICABLE</v>
      </c>
    </row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3">
    <mergeCell ref="A7:D7"/>
    <mergeCell ref="A6:D6"/>
    <mergeCell ref="A8:D8"/>
  </mergeCells>
  <dataValidations count="4">
    <dataValidation allowBlank="1" showInputMessage="1" showErrorMessage="1" promptTitle="INPUT FORMAT" prompt="The following formats are accepted:&#10;dd.mm.yy&#10;dd.mm.yyyy&#10;dd/mm/yy&#10;dd/mm/yyyy" sqref="B12:B14"/>
    <dataValidation type="list" allowBlank="1" showInputMessage="1" showErrorMessage="1" sqref="B15">
      <formula1>$D$65:$D$66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8">
      <formula1>$A$65:$A$66</formula1>
    </dataValidation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71"/>
  <sheetViews>
    <sheetView zoomScale="80" zoomScaleNormal="80" zoomScalePageLayoutView="0" workbookViewId="0" topLeftCell="A4">
      <selection activeCell="J18" sqref="J18"/>
    </sheetView>
  </sheetViews>
  <sheetFormatPr defaultColWidth="22.28125" defaultRowHeight="12.75"/>
  <cols>
    <col min="1" max="2" width="22.28125" style="0" customWidth="1"/>
    <col min="3" max="3" width="15.140625" style="0" bestFit="1" customWidth="1"/>
    <col min="4" max="4" width="16.140625" style="0" bestFit="1" customWidth="1"/>
    <col min="5" max="5" width="15.28125" style="0" bestFit="1" customWidth="1"/>
    <col min="6" max="6" width="12.28125" style="0" bestFit="1" customWidth="1"/>
    <col min="7" max="7" width="18.140625" style="0" bestFit="1" customWidth="1"/>
    <col min="8" max="8" width="22.28125" style="0" customWidth="1"/>
    <col min="9" max="9" width="11.28125" style="0" customWidth="1"/>
    <col min="10" max="10" width="21.00390625" style="0" bestFit="1" customWidth="1"/>
    <col min="11" max="12" width="22.28125" style="0" customWidth="1"/>
    <col min="13" max="13" width="17.8515625" style="0" bestFit="1" customWidth="1"/>
    <col min="14" max="15" width="22.28125" style="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t="s">
        <v>97</v>
      </c>
    </row>
    <row r="3" spans="1:10" ht="12.75">
      <c r="A3" s="7" t="s">
        <v>45</v>
      </c>
      <c r="B3" s="8" t="s">
        <v>30</v>
      </c>
      <c r="C3" s="9" t="s">
        <v>1</v>
      </c>
      <c r="D3" s="10" t="s">
        <v>2</v>
      </c>
      <c r="E3" s="30" t="s">
        <v>3</v>
      </c>
      <c r="F3" s="31">
        <v>44197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182</v>
      </c>
      <c r="C4" s="2" t="s">
        <v>1</v>
      </c>
      <c r="D4" s="3" t="s">
        <v>2</v>
      </c>
      <c r="E4" s="32">
        <v>35</v>
      </c>
      <c r="F4" s="33">
        <v>44197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183</v>
      </c>
      <c r="C5" s="14" t="s">
        <v>1</v>
      </c>
      <c r="D5" s="15" t="s">
        <v>2</v>
      </c>
      <c r="E5" s="34">
        <v>55</v>
      </c>
      <c r="F5" s="35">
        <v>44197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33</v>
      </c>
      <c r="C6" s="9" t="s">
        <v>1</v>
      </c>
      <c r="D6" s="10" t="s">
        <v>2</v>
      </c>
      <c r="E6" s="30" t="s">
        <v>3</v>
      </c>
      <c r="F6" s="31">
        <v>44197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184</v>
      </c>
      <c r="C7" s="2" t="s">
        <v>1</v>
      </c>
      <c r="D7" s="3" t="s">
        <v>2</v>
      </c>
      <c r="E7" s="32">
        <v>45</v>
      </c>
      <c r="F7" s="33">
        <v>44197</v>
      </c>
      <c r="G7" s="17" t="s">
        <v>27</v>
      </c>
    </row>
    <row r="8" spans="1:7" ht="13.5" thickBot="1">
      <c r="A8" s="12" t="s">
        <v>46</v>
      </c>
      <c r="B8" s="13" t="s">
        <v>185</v>
      </c>
      <c r="C8" s="14" t="s">
        <v>1</v>
      </c>
      <c r="D8" s="15" t="s">
        <v>2</v>
      </c>
      <c r="E8" s="34">
        <v>85</v>
      </c>
      <c r="F8" s="35">
        <v>44197</v>
      </c>
      <c r="G8" s="18" t="s">
        <v>27</v>
      </c>
    </row>
    <row r="9" spans="1:7" ht="13.5" thickBot="1">
      <c r="A9" s="7" t="s">
        <v>47</v>
      </c>
      <c r="B9" s="8" t="s">
        <v>186</v>
      </c>
      <c r="C9" s="9" t="s">
        <v>1</v>
      </c>
      <c r="D9" s="10" t="s">
        <v>2</v>
      </c>
      <c r="E9" s="30" t="s">
        <v>3</v>
      </c>
      <c r="F9" s="31">
        <v>44197</v>
      </c>
      <c r="G9" s="16" t="s">
        <v>27</v>
      </c>
    </row>
    <row r="10" spans="1:13" ht="12.75">
      <c r="A10" s="11" t="s">
        <v>47</v>
      </c>
      <c r="B10" s="1" t="s">
        <v>187</v>
      </c>
      <c r="C10" s="2" t="s">
        <v>1</v>
      </c>
      <c r="D10" s="3" t="s">
        <v>2</v>
      </c>
      <c r="E10" s="32">
        <v>75</v>
      </c>
      <c r="F10" s="33">
        <v>44197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188</v>
      </c>
      <c r="C11" s="14" t="s">
        <v>1</v>
      </c>
      <c r="D11" s="15" t="s">
        <v>2</v>
      </c>
      <c r="E11" s="34">
        <v>111</v>
      </c>
      <c r="F11" s="35">
        <v>44197</v>
      </c>
      <c r="G11" s="18" t="s">
        <v>27</v>
      </c>
      <c r="I11" s="153" t="s">
        <v>54</v>
      </c>
      <c r="J11" s="148"/>
      <c r="K11" s="92"/>
      <c r="L11" s="72" t="s">
        <v>112</v>
      </c>
      <c r="M11" s="73">
        <v>110</v>
      </c>
    </row>
    <row r="12" spans="1:11" ht="12.75">
      <c r="A12" s="7" t="s">
        <v>48</v>
      </c>
      <c r="B12" s="8" t="s">
        <v>189</v>
      </c>
      <c r="C12" s="9" t="s">
        <v>1</v>
      </c>
      <c r="D12" s="10" t="s">
        <v>2</v>
      </c>
      <c r="E12" s="30" t="s">
        <v>3</v>
      </c>
      <c r="F12" s="31">
        <v>44197</v>
      </c>
      <c r="G12" s="16" t="s">
        <v>27</v>
      </c>
      <c r="H12" s="196" t="s">
        <v>176</v>
      </c>
      <c r="I12" s="142" t="s">
        <v>147</v>
      </c>
      <c r="J12" s="146">
        <v>35.3</v>
      </c>
      <c r="K12" s="147" t="s">
        <v>105</v>
      </c>
    </row>
    <row r="13" spans="1:11" ht="13.5" thickBot="1">
      <c r="A13" s="11" t="s">
        <v>48</v>
      </c>
      <c r="B13" s="1" t="s">
        <v>190</v>
      </c>
      <c r="C13" s="2" t="s">
        <v>1</v>
      </c>
      <c r="D13" s="3" t="s">
        <v>2</v>
      </c>
      <c r="E13" s="32">
        <v>111</v>
      </c>
      <c r="F13" s="33">
        <v>44197</v>
      </c>
      <c r="G13" s="17" t="s">
        <v>27</v>
      </c>
      <c r="H13" s="197"/>
      <c r="I13" s="150" t="s">
        <v>148</v>
      </c>
      <c r="J13" s="149">
        <v>70.6</v>
      </c>
      <c r="K13" s="151" t="s">
        <v>105</v>
      </c>
    </row>
    <row r="14" spans="1:11" ht="13.5" thickBot="1">
      <c r="A14" s="12" t="s">
        <v>48</v>
      </c>
      <c r="B14" s="13" t="s">
        <v>191</v>
      </c>
      <c r="C14" s="14" t="s">
        <v>1</v>
      </c>
      <c r="D14" s="15" t="s">
        <v>2</v>
      </c>
      <c r="E14" s="34">
        <v>151</v>
      </c>
      <c r="F14" s="35">
        <v>44197</v>
      </c>
      <c r="G14" s="18" t="s">
        <v>27</v>
      </c>
      <c r="H14" s="197"/>
      <c r="I14" s="107" t="s">
        <v>147</v>
      </c>
      <c r="J14" s="148">
        <f>J12*2</f>
        <v>70.6</v>
      </c>
      <c r="K14" s="152" t="s">
        <v>106</v>
      </c>
    </row>
    <row r="15" spans="1:11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44197</v>
      </c>
      <c r="G15" s="16" t="s">
        <v>27</v>
      </c>
      <c r="H15" s="198"/>
      <c r="I15" s="150" t="s">
        <v>148</v>
      </c>
      <c r="J15" s="149">
        <f>J13*2</f>
        <v>141.2</v>
      </c>
      <c r="K15" s="151" t="s">
        <v>106</v>
      </c>
    </row>
    <row r="16" spans="1:11" ht="13.5" thickBot="1">
      <c r="A16" s="11" t="s">
        <v>49</v>
      </c>
      <c r="B16" s="1" t="s">
        <v>192</v>
      </c>
      <c r="C16" s="2" t="s">
        <v>1</v>
      </c>
      <c r="D16" s="3" t="s">
        <v>2</v>
      </c>
      <c r="E16" s="32">
        <v>75</v>
      </c>
      <c r="F16" s="33">
        <v>44197</v>
      </c>
      <c r="G16" s="17" t="s">
        <v>27</v>
      </c>
      <c r="H16" s="195" t="s">
        <v>173</v>
      </c>
      <c r="I16" s="107" t="s">
        <v>149</v>
      </c>
      <c r="J16" s="148">
        <v>70.6</v>
      </c>
      <c r="K16" s="147" t="s">
        <v>105</v>
      </c>
    </row>
    <row r="17" spans="1:11" ht="13.5" thickBot="1">
      <c r="A17" s="12" t="s">
        <v>49</v>
      </c>
      <c r="B17" s="13" t="s">
        <v>193</v>
      </c>
      <c r="C17" s="14" t="s">
        <v>1</v>
      </c>
      <c r="D17" s="15" t="s">
        <v>2</v>
      </c>
      <c r="E17" s="34">
        <v>95</v>
      </c>
      <c r="F17" s="35">
        <v>44197</v>
      </c>
      <c r="G17" s="18" t="s">
        <v>27</v>
      </c>
      <c r="H17" s="195"/>
      <c r="I17" s="150" t="s">
        <v>146</v>
      </c>
      <c r="J17" s="149">
        <v>141.2</v>
      </c>
      <c r="K17" s="151" t="s">
        <v>105</v>
      </c>
    </row>
    <row r="18" spans="1:11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44197</v>
      </c>
      <c r="G18" s="16" t="s">
        <v>27</v>
      </c>
      <c r="H18" s="195"/>
      <c r="I18" s="107" t="s">
        <v>149</v>
      </c>
      <c r="J18" s="148">
        <f>J16*2</f>
        <v>141.2</v>
      </c>
      <c r="K18" s="152" t="s">
        <v>106</v>
      </c>
    </row>
    <row r="19" spans="1:11" ht="13.5" thickBot="1">
      <c r="A19" s="11" t="s">
        <v>50</v>
      </c>
      <c r="B19" s="1" t="s">
        <v>194</v>
      </c>
      <c r="C19" s="2" t="s">
        <v>1</v>
      </c>
      <c r="D19" s="3" t="s">
        <v>2</v>
      </c>
      <c r="E19" s="32">
        <v>95</v>
      </c>
      <c r="F19" s="33">
        <v>44197</v>
      </c>
      <c r="G19" s="17" t="s">
        <v>27</v>
      </c>
      <c r="H19" s="195"/>
      <c r="I19" s="150" t="s">
        <v>146</v>
      </c>
      <c r="J19" s="149">
        <f>J17*2</f>
        <v>282.4</v>
      </c>
      <c r="K19" s="151" t="s">
        <v>106</v>
      </c>
    </row>
    <row r="20" spans="1:7" ht="13.5" thickBot="1">
      <c r="A20" s="12" t="s">
        <v>50</v>
      </c>
      <c r="B20" s="13" t="s">
        <v>195</v>
      </c>
      <c r="C20" s="14" t="s">
        <v>1</v>
      </c>
      <c r="D20" s="15" t="s">
        <v>2</v>
      </c>
      <c r="E20" s="34">
        <v>140</v>
      </c>
      <c r="F20" s="35">
        <v>44197</v>
      </c>
      <c r="G20" s="18" t="s">
        <v>27</v>
      </c>
    </row>
    <row r="21" spans="1:7" ht="24.75" customHeight="1" thickBot="1">
      <c r="A21" s="192" t="s">
        <v>29</v>
      </c>
      <c r="B21" s="193"/>
      <c r="C21" s="193"/>
      <c r="D21" s="193"/>
      <c r="E21" s="193"/>
      <c r="F21" s="193"/>
      <c r="G21" s="194"/>
    </row>
    <row r="22" spans="1:7" ht="12.75">
      <c r="A22" s="109" t="s">
        <v>45</v>
      </c>
      <c r="B22" s="110" t="s">
        <v>30</v>
      </c>
      <c r="C22" s="111" t="s">
        <v>1</v>
      </c>
      <c r="D22" s="112" t="s">
        <v>2</v>
      </c>
      <c r="E22" s="113" t="s">
        <v>3</v>
      </c>
      <c r="F22" s="114">
        <v>41275</v>
      </c>
      <c r="G22" s="115" t="s">
        <v>27</v>
      </c>
    </row>
    <row r="23" spans="1:7" ht="12.75">
      <c r="A23" s="116" t="s">
        <v>45</v>
      </c>
      <c r="B23" s="117" t="s">
        <v>31</v>
      </c>
      <c r="C23" s="118" t="s">
        <v>1</v>
      </c>
      <c r="D23" s="119" t="s">
        <v>2</v>
      </c>
      <c r="E23" s="120">
        <v>10</v>
      </c>
      <c r="F23" s="121">
        <v>41275</v>
      </c>
      <c r="G23" s="122" t="s">
        <v>27</v>
      </c>
    </row>
    <row r="24" spans="1:7" ht="13.5" thickBot="1">
      <c r="A24" s="123" t="s">
        <v>45</v>
      </c>
      <c r="B24" s="124" t="s">
        <v>32</v>
      </c>
      <c r="C24" s="125" t="s">
        <v>1</v>
      </c>
      <c r="D24" s="126" t="s">
        <v>2</v>
      </c>
      <c r="E24" s="127">
        <v>20</v>
      </c>
      <c r="F24" s="128">
        <v>41275</v>
      </c>
      <c r="G24" s="129" t="s">
        <v>27</v>
      </c>
    </row>
    <row r="25" spans="1:7" ht="12.75">
      <c r="A25" s="109" t="s">
        <v>46</v>
      </c>
      <c r="B25" s="110" t="s">
        <v>33</v>
      </c>
      <c r="C25" s="111" t="s">
        <v>1</v>
      </c>
      <c r="D25" s="112" t="s">
        <v>2</v>
      </c>
      <c r="E25" s="113" t="s">
        <v>3</v>
      </c>
      <c r="F25" s="114">
        <v>41275</v>
      </c>
      <c r="G25" s="115" t="s">
        <v>27</v>
      </c>
    </row>
    <row r="26" spans="1:7" ht="12.75">
      <c r="A26" s="116" t="s">
        <v>46</v>
      </c>
      <c r="B26" s="117" t="s">
        <v>34</v>
      </c>
      <c r="C26" s="118" t="s">
        <v>1</v>
      </c>
      <c r="D26" s="119" t="s">
        <v>2</v>
      </c>
      <c r="E26" s="120">
        <v>20</v>
      </c>
      <c r="F26" s="121">
        <v>41275</v>
      </c>
      <c r="G26" s="122" t="s">
        <v>27</v>
      </c>
    </row>
    <row r="27" spans="1:7" ht="13.5" thickBot="1">
      <c r="A27" s="123" t="s">
        <v>46</v>
      </c>
      <c r="B27" s="124" t="s">
        <v>35</v>
      </c>
      <c r="C27" s="125" t="s">
        <v>1</v>
      </c>
      <c r="D27" s="126" t="s">
        <v>2</v>
      </c>
      <c r="E27" s="127">
        <v>30</v>
      </c>
      <c r="F27" s="128">
        <v>41275</v>
      </c>
      <c r="G27" s="129" t="s">
        <v>27</v>
      </c>
    </row>
    <row r="28" spans="1:7" ht="12.75">
      <c r="A28" s="109" t="s">
        <v>47</v>
      </c>
      <c r="B28" s="110" t="s">
        <v>36</v>
      </c>
      <c r="C28" s="111" t="s">
        <v>1</v>
      </c>
      <c r="D28" s="112" t="s">
        <v>2</v>
      </c>
      <c r="E28" s="113" t="s">
        <v>3</v>
      </c>
      <c r="F28" s="114">
        <v>41275</v>
      </c>
      <c r="G28" s="115" t="s">
        <v>27</v>
      </c>
    </row>
    <row r="29" spans="1:7" ht="12.75">
      <c r="A29" s="116" t="s">
        <v>47</v>
      </c>
      <c r="B29" s="117" t="s">
        <v>37</v>
      </c>
      <c r="C29" s="118" t="s">
        <v>1</v>
      </c>
      <c r="D29" s="119" t="s">
        <v>2</v>
      </c>
      <c r="E29" s="120">
        <v>70</v>
      </c>
      <c r="F29" s="121">
        <v>41275</v>
      </c>
      <c r="G29" s="122" t="s">
        <v>27</v>
      </c>
    </row>
    <row r="30" spans="1:7" ht="13.5" thickBot="1">
      <c r="A30" s="123" t="s">
        <v>47</v>
      </c>
      <c r="B30" s="124" t="s">
        <v>11</v>
      </c>
      <c r="C30" s="125" t="s">
        <v>1</v>
      </c>
      <c r="D30" s="126" t="s">
        <v>2</v>
      </c>
      <c r="E30" s="127">
        <v>90</v>
      </c>
      <c r="F30" s="128">
        <v>41275</v>
      </c>
      <c r="G30" s="129" t="s">
        <v>27</v>
      </c>
    </row>
    <row r="31" spans="1:7" ht="12.75">
      <c r="A31" s="109" t="s">
        <v>48</v>
      </c>
      <c r="B31" s="110" t="s">
        <v>38</v>
      </c>
      <c r="C31" s="111" t="s">
        <v>1</v>
      </c>
      <c r="D31" s="112" t="s">
        <v>2</v>
      </c>
      <c r="E31" s="113" t="s">
        <v>3</v>
      </c>
      <c r="F31" s="114">
        <v>41275</v>
      </c>
      <c r="G31" s="115" t="s">
        <v>27</v>
      </c>
    </row>
    <row r="32" spans="1:7" ht="12.75">
      <c r="A32" s="116" t="s">
        <v>48</v>
      </c>
      <c r="B32" s="117" t="s">
        <v>39</v>
      </c>
      <c r="C32" s="118" t="s">
        <v>1</v>
      </c>
      <c r="D32" s="119" t="s">
        <v>2</v>
      </c>
      <c r="E32" s="120">
        <v>75</v>
      </c>
      <c r="F32" s="121">
        <v>41275</v>
      </c>
      <c r="G32" s="122" t="s">
        <v>27</v>
      </c>
    </row>
    <row r="33" spans="1:7" ht="13.5" thickBot="1">
      <c r="A33" s="123" t="s">
        <v>48</v>
      </c>
      <c r="B33" s="124" t="s">
        <v>14</v>
      </c>
      <c r="C33" s="125" t="s">
        <v>1</v>
      </c>
      <c r="D33" s="126" t="s">
        <v>2</v>
      </c>
      <c r="E33" s="127">
        <v>115</v>
      </c>
      <c r="F33" s="128">
        <v>41275</v>
      </c>
      <c r="G33" s="129" t="s">
        <v>27</v>
      </c>
    </row>
    <row r="34" spans="1:7" ht="12.75">
      <c r="A34" s="109" t="s">
        <v>49</v>
      </c>
      <c r="B34" s="110" t="s">
        <v>40</v>
      </c>
      <c r="C34" s="111" t="s">
        <v>1</v>
      </c>
      <c r="D34" s="112" t="s">
        <v>2</v>
      </c>
      <c r="E34" s="113" t="s">
        <v>3</v>
      </c>
      <c r="F34" s="114">
        <v>41275</v>
      </c>
      <c r="G34" s="115" t="s">
        <v>27</v>
      </c>
    </row>
    <row r="35" spans="1:7" ht="13.5" thickBot="1">
      <c r="A35" s="123" t="s">
        <v>49</v>
      </c>
      <c r="B35" s="124" t="s">
        <v>41</v>
      </c>
      <c r="C35" s="125" t="s">
        <v>1</v>
      </c>
      <c r="D35" s="126" t="s">
        <v>2</v>
      </c>
      <c r="E35" s="127">
        <v>40</v>
      </c>
      <c r="F35" s="128">
        <v>41275</v>
      </c>
      <c r="G35" s="129" t="s">
        <v>27</v>
      </c>
    </row>
    <row r="36" spans="1:7" ht="12.75">
      <c r="A36" s="109" t="s">
        <v>50</v>
      </c>
      <c r="B36" s="110" t="s">
        <v>42</v>
      </c>
      <c r="C36" s="111" t="s">
        <v>1</v>
      </c>
      <c r="D36" s="112" t="s">
        <v>2</v>
      </c>
      <c r="E36" s="113" t="s">
        <v>3</v>
      </c>
      <c r="F36" s="114">
        <v>41275</v>
      </c>
      <c r="G36" s="115" t="s">
        <v>27</v>
      </c>
    </row>
    <row r="37" spans="1:7" ht="13.5" thickBot="1">
      <c r="A37" s="123" t="s">
        <v>50</v>
      </c>
      <c r="B37" s="124" t="s">
        <v>43</v>
      </c>
      <c r="C37" s="125" t="s">
        <v>1</v>
      </c>
      <c r="D37" s="126" t="s">
        <v>2</v>
      </c>
      <c r="E37" s="127">
        <v>70</v>
      </c>
      <c r="F37" s="128">
        <v>41275</v>
      </c>
      <c r="G37" s="129" t="s">
        <v>27</v>
      </c>
    </row>
    <row r="39" ht="12.75">
      <c r="A39" s="76" t="s">
        <v>98</v>
      </c>
    </row>
    <row r="40" spans="1:16" ht="12.75">
      <c r="A40" s="27" t="s">
        <v>61</v>
      </c>
      <c r="B40" s="28" t="s">
        <v>62</v>
      </c>
      <c r="C40" s="28" t="s">
        <v>63</v>
      </c>
      <c r="D40" s="28" t="s">
        <v>64</v>
      </c>
      <c r="E40" s="28" t="s">
        <v>65</v>
      </c>
      <c r="F40" s="28" t="s">
        <v>67</v>
      </c>
      <c r="G40" s="28" t="s">
        <v>68</v>
      </c>
      <c r="H40" s="28" t="s">
        <v>66</v>
      </c>
      <c r="I40" s="28" t="s">
        <v>75</v>
      </c>
      <c r="J40" s="28" t="s">
        <v>77</v>
      </c>
      <c r="K40" s="28" t="s">
        <v>78</v>
      </c>
      <c r="L40" s="37" t="s">
        <v>79</v>
      </c>
      <c r="M40" s="38" t="s">
        <v>80</v>
      </c>
      <c r="N40" s="38" t="s">
        <v>76</v>
      </c>
      <c r="O40" s="38" t="s">
        <v>82</v>
      </c>
      <c r="P40" s="38" t="s">
        <v>81</v>
      </c>
    </row>
    <row r="41" spans="1:16" ht="34.5" thickBot="1">
      <c r="A41" s="25" t="s">
        <v>55</v>
      </c>
      <c r="B41" s="26">
        <f>calculator!$C$14</f>
        <v>25</v>
      </c>
      <c r="C41" s="26">
        <f aca="true" t="shared" si="0" ref="C41:C52">B41-I41</f>
        <v>15</v>
      </c>
      <c r="D41" s="26">
        <f aca="true" t="shared" si="1" ref="D41:D46">C41-7</f>
        <v>8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685</v>
      </c>
      <c r="H41" s="26">
        <f aca="true" t="shared" si="3" ref="H41:H52">F41+G41</f>
        <v>685</v>
      </c>
      <c r="I41" s="20">
        <v>10</v>
      </c>
      <c r="J41" s="36">
        <f>calculator!$B$12+database!I41-1</f>
        <v>44571</v>
      </c>
      <c r="K41" s="36">
        <f>IF(E41=0,database!J41+database!C41,database!J41+database!E41)</f>
        <v>44578</v>
      </c>
      <c r="L41" s="20">
        <f>IF(F41=0,M41,F41)</f>
        <v>245</v>
      </c>
      <c r="M41" s="20">
        <f>E4*7</f>
        <v>245</v>
      </c>
      <c r="N41" s="20">
        <f>IF(G41=0,G41,G41-M41)</f>
        <v>440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20">
        <f>calculator!$C$14</f>
        <v>25</v>
      </c>
      <c r="C42" s="20">
        <f t="shared" si="0"/>
        <v>15</v>
      </c>
      <c r="D42" s="20">
        <f t="shared" si="1"/>
        <v>8</v>
      </c>
      <c r="E42" s="20">
        <f t="shared" si="2"/>
        <v>7</v>
      </c>
      <c r="F42" s="20">
        <f>IF(D42&lt;=0,C42*E7,0)</f>
        <v>0</v>
      </c>
      <c r="G42" s="20">
        <f>IF(D42&gt;=1,D42*E8+M42,0)</f>
        <v>995</v>
      </c>
      <c r="H42" s="20">
        <f t="shared" si="3"/>
        <v>995</v>
      </c>
      <c r="I42" s="20">
        <v>10</v>
      </c>
      <c r="J42" s="36">
        <f>calculator!$B$12+database!I42-1</f>
        <v>44571</v>
      </c>
      <c r="K42" s="36">
        <f>IF(E42=0,database!J42+database!C42,database!J42+database!E42)</f>
        <v>44578</v>
      </c>
      <c r="L42" s="20">
        <f aca="true" t="shared" si="4" ref="L42:L50">IF(F42=0,M42,F42)</f>
        <v>315</v>
      </c>
      <c r="M42" s="20">
        <f>E7*7</f>
        <v>315</v>
      </c>
      <c r="N42" s="20">
        <f aca="true" t="shared" si="5" ref="N42:N50">IF(G42=0,G42,G42-M42)</f>
        <v>680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20">
        <f>calculator!$C$14</f>
        <v>25</v>
      </c>
      <c r="C43" s="20">
        <f t="shared" si="0"/>
        <v>18</v>
      </c>
      <c r="D43" s="20">
        <f t="shared" si="1"/>
        <v>11</v>
      </c>
      <c r="E43" s="20">
        <f t="shared" si="2"/>
        <v>7</v>
      </c>
      <c r="F43" s="20">
        <f>IF(D43&lt;=0,C43*E10,0)</f>
        <v>0</v>
      </c>
      <c r="G43" s="20">
        <f>IF(D43&gt;=1,D43*E11+M43,0)</f>
        <v>1746</v>
      </c>
      <c r="H43" s="20">
        <f t="shared" si="3"/>
        <v>1746</v>
      </c>
      <c r="I43" s="20">
        <v>7</v>
      </c>
      <c r="J43" s="36">
        <f>calculator!$B$12+database!I43-1</f>
        <v>44568</v>
      </c>
      <c r="K43" s="36">
        <f>IF(E43=0,database!J43+database!C43,database!J43+database!E43)</f>
        <v>44575</v>
      </c>
      <c r="L43" s="20">
        <f t="shared" si="4"/>
        <v>525</v>
      </c>
      <c r="M43" s="20">
        <f>E10*7</f>
        <v>525</v>
      </c>
      <c r="N43" s="20">
        <f t="shared" si="5"/>
        <v>1221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20">
        <f>calculator!$C$14</f>
        <v>25</v>
      </c>
      <c r="C44" s="20">
        <f t="shared" si="0"/>
        <v>18</v>
      </c>
      <c r="D44" s="20">
        <f t="shared" si="1"/>
        <v>11</v>
      </c>
      <c r="E44" s="20">
        <f t="shared" si="2"/>
        <v>7</v>
      </c>
      <c r="F44" s="20">
        <f>IF(D44&lt;=0,C44*E13,0)</f>
        <v>0</v>
      </c>
      <c r="G44" s="20">
        <f>IF(D44&gt;=1,D44*E14+M44,0)</f>
        <v>2438</v>
      </c>
      <c r="H44" s="20">
        <f t="shared" si="3"/>
        <v>2438</v>
      </c>
      <c r="I44" s="20">
        <v>7</v>
      </c>
      <c r="J44" s="36">
        <f>calculator!$B$12+database!I44-1</f>
        <v>44568</v>
      </c>
      <c r="K44" s="36">
        <f>IF(E44=0,database!J44+database!C44,database!J44+database!E44)</f>
        <v>44575</v>
      </c>
      <c r="L44" s="20">
        <f t="shared" si="4"/>
        <v>777</v>
      </c>
      <c r="M44" s="20">
        <f>E13*7</f>
        <v>777</v>
      </c>
      <c r="N44" s="20">
        <f t="shared" si="5"/>
        <v>1661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20">
        <f>calculator!$C$14</f>
        <v>25</v>
      </c>
      <c r="C45" s="20">
        <f t="shared" si="0"/>
        <v>18</v>
      </c>
      <c r="D45" s="20">
        <f t="shared" si="1"/>
        <v>11</v>
      </c>
      <c r="E45" s="20">
        <f t="shared" si="2"/>
        <v>7</v>
      </c>
      <c r="F45" s="20">
        <f>IF(D45&lt;=0,C45*E16,0)</f>
        <v>0</v>
      </c>
      <c r="G45" s="20">
        <f>IF(D45&gt;=1,D45*E17+M45,0)</f>
        <v>1570</v>
      </c>
      <c r="H45" s="20">
        <f t="shared" si="3"/>
        <v>1570</v>
      </c>
      <c r="I45" s="20">
        <v>7</v>
      </c>
      <c r="J45" s="36">
        <f>calculator!$B$12+database!I45-1</f>
        <v>44568</v>
      </c>
      <c r="K45" s="36">
        <f>IF(E45=0,database!J45+database!C45,database!J45+database!E45)</f>
        <v>44575</v>
      </c>
      <c r="L45" s="20">
        <f t="shared" si="4"/>
        <v>525</v>
      </c>
      <c r="M45" s="20">
        <f>E16*7</f>
        <v>525</v>
      </c>
      <c r="N45" s="20">
        <f t="shared" si="5"/>
        <v>1045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20">
        <f>calculator!$C$14</f>
        <v>25</v>
      </c>
      <c r="C46" s="20">
        <f t="shared" si="0"/>
        <v>18</v>
      </c>
      <c r="D46" s="20">
        <f t="shared" si="1"/>
        <v>11</v>
      </c>
      <c r="E46" s="20">
        <f t="shared" si="2"/>
        <v>7</v>
      </c>
      <c r="F46" s="20">
        <f>IF(D46&lt;=0,C46*E19,0)</f>
        <v>0</v>
      </c>
      <c r="G46" s="20">
        <f>IF(D46&gt;=1,D46*E20+M46,0)</f>
        <v>2205</v>
      </c>
      <c r="H46" s="20">
        <f t="shared" si="3"/>
        <v>2205</v>
      </c>
      <c r="I46" s="20">
        <v>7</v>
      </c>
      <c r="J46" s="36">
        <f>calculator!$B$12+database!I46-1</f>
        <v>44568</v>
      </c>
      <c r="K46" s="36">
        <f>IF(E46=0,database!J46+database!C46,database!J46+database!E46)</f>
        <v>44575</v>
      </c>
      <c r="L46" s="20">
        <f t="shared" si="4"/>
        <v>665</v>
      </c>
      <c r="M46" s="20">
        <f>E19*7</f>
        <v>665</v>
      </c>
      <c r="N46" s="20">
        <f t="shared" si="5"/>
        <v>1540</v>
      </c>
      <c r="O46" s="39">
        <f>E19</f>
        <v>95</v>
      </c>
      <c r="P46" s="39">
        <f>E20</f>
        <v>140</v>
      </c>
    </row>
    <row r="47" spans="1:16" s="94" customFormat="1" ht="57" hidden="1" thickBot="1">
      <c r="A47" s="95" t="s">
        <v>69</v>
      </c>
      <c r="B47" s="96">
        <f>calculator!$C$14</f>
        <v>25</v>
      </c>
      <c r="C47" s="96">
        <f t="shared" si="0"/>
        <v>15</v>
      </c>
      <c r="D47" s="96">
        <f>C47-15</f>
        <v>0</v>
      </c>
      <c r="E47" s="96">
        <f t="shared" si="2"/>
        <v>15</v>
      </c>
      <c r="F47" s="96">
        <f>IF(D47&lt;=0,C47*E23,0)</f>
        <v>150</v>
      </c>
      <c r="G47" s="96">
        <f>IF(D47&gt;=1,D47*E24+M47,0)</f>
        <v>0</v>
      </c>
      <c r="H47" s="96">
        <f t="shared" si="3"/>
        <v>150</v>
      </c>
      <c r="I47" s="96">
        <v>10</v>
      </c>
      <c r="J47" s="97">
        <f>calculator!$B$12+database!I47-1</f>
        <v>44571</v>
      </c>
      <c r="K47" s="97">
        <f>IF(E47=0,database!J47+database!C47,database!J47+database!E47)</f>
        <v>44586</v>
      </c>
      <c r="L47" s="96">
        <f t="shared" si="4"/>
        <v>150</v>
      </c>
      <c r="M47" s="96">
        <f>E23*15</f>
        <v>150</v>
      </c>
      <c r="N47" s="96">
        <f t="shared" si="5"/>
        <v>0</v>
      </c>
      <c r="O47" s="98">
        <f>E23</f>
        <v>10</v>
      </c>
      <c r="P47" s="98">
        <f>E24</f>
        <v>20</v>
      </c>
    </row>
    <row r="48" spans="1:16" s="94" customFormat="1" ht="57" hidden="1" thickBot="1">
      <c r="A48" s="99" t="s">
        <v>70</v>
      </c>
      <c r="B48" s="96">
        <f>calculator!$C$14</f>
        <v>25</v>
      </c>
      <c r="C48" s="96">
        <f t="shared" si="0"/>
        <v>15</v>
      </c>
      <c r="D48" s="96">
        <f>C48-15</f>
        <v>0</v>
      </c>
      <c r="E48" s="96">
        <f t="shared" si="2"/>
        <v>15</v>
      </c>
      <c r="F48" s="96">
        <f>IF(D48&lt;=0,C48*E26,0)</f>
        <v>300</v>
      </c>
      <c r="G48" s="96">
        <f>IF(D48&gt;=1,D48*E27+M48,0)</f>
        <v>0</v>
      </c>
      <c r="H48" s="96">
        <f t="shared" si="3"/>
        <v>300</v>
      </c>
      <c r="I48" s="96">
        <v>10</v>
      </c>
      <c r="J48" s="97">
        <f>calculator!$B$12+database!I48-1</f>
        <v>44571</v>
      </c>
      <c r="K48" s="97">
        <f>IF(E48=0,database!J48+database!C48,database!J48+database!E48)</f>
        <v>44586</v>
      </c>
      <c r="L48" s="96">
        <f t="shared" si="4"/>
        <v>300</v>
      </c>
      <c r="M48" s="96">
        <f>E26*15</f>
        <v>300</v>
      </c>
      <c r="N48" s="96">
        <f t="shared" si="5"/>
        <v>0</v>
      </c>
      <c r="O48" s="98">
        <f>E26</f>
        <v>20</v>
      </c>
      <c r="P48" s="98">
        <f>E27</f>
        <v>30</v>
      </c>
    </row>
    <row r="49" spans="1:16" s="94" customFormat="1" ht="57" hidden="1" thickBot="1">
      <c r="A49" s="99" t="s">
        <v>71</v>
      </c>
      <c r="B49" s="100">
        <f>calculator!$C$14</f>
        <v>25</v>
      </c>
      <c r="C49" s="100">
        <f t="shared" si="0"/>
        <v>20</v>
      </c>
      <c r="D49" s="100">
        <f>C49-5</f>
        <v>15</v>
      </c>
      <c r="E49" s="100">
        <f t="shared" si="2"/>
        <v>5</v>
      </c>
      <c r="F49" s="100">
        <f>IF(D49&lt;=0,C49*E29,0)</f>
        <v>0</v>
      </c>
      <c r="G49" s="100">
        <f>IF(D49&gt;=1,D49*E30+M49,0)</f>
        <v>1700</v>
      </c>
      <c r="H49" s="100">
        <f t="shared" si="3"/>
        <v>1700</v>
      </c>
      <c r="I49" s="96">
        <v>5</v>
      </c>
      <c r="J49" s="97">
        <f>calculator!$B$12+database!I49-1</f>
        <v>44566</v>
      </c>
      <c r="K49" s="97">
        <f>IF(E49=0,database!J49+database!C49,database!J49+database!E49)</f>
        <v>44571</v>
      </c>
      <c r="L49" s="96">
        <f t="shared" si="4"/>
        <v>350</v>
      </c>
      <c r="M49" s="96">
        <f>E29*5</f>
        <v>350</v>
      </c>
      <c r="N49" s="96">
        <f t="shared" si="5"/>
        <v>1350</v>
      </c>
      <c r="O49" s="98">
        <f>E29</f>
        <v>70</v>
      </c>
      <c r="P49" s="98">
        <f>E30</f>
        <v>90</v>
      </c>
    </row>
    <row r="50" spans="1:16" s="94" customFormat="1" ht="57" hidden="1" thickBot="1">
      <c r="A50" s="99" t="s">
        <v>72</v>
      </c>
      <c r="B50" s="100">
        <f>calculator!$C$14</f>
        <v>25</v>
      </c>
      <c r="C50" s="100">
        <f t="shared" si="0"/>
        <v>20</v>
      </c>
      <c r="D50" s="100">
        <f>C50-5</f>
        <v>15</v>
      </c>
      <c r="E50" s="100">
        <f t="shared" si="2"/>
        <v>5</v>
      </c>
      <c r="F50" s="100">
        <f>IF(D50&lt;=0,C50*E32,0)</f>
        <v>0</v>
      </c>
      <c r="G50" s="100">
        <f>IF(D50&gt;=1,D50*E33+M50,0)</f>
        <v>2100</v>
      </c>
      <c r="H50" s="100">
        <f t="shared" si="3"/>
        <v>2100</v>
      </c>
      <c r="I50" s="96">
        <v>5</v>
      </c>
      <c r="J50" s="97">
        <f>calculator!$B$12+database!I50-1</f>
        <v>44566</v>
      </c>
      <c r="K50" s="97">
        <f>IF(E50=0,database!J50+database!C50,database!J50+database!E50)</f>
        <v>44571</v>
      </c>
      <c r="L50" s="96">
        <f t="shared" si="4"/>
        <v>375</v>
      </c>
      <c r="M50" s="96">
        <f>E32*5</f>
        <v>375</v>
      </c>
      <c r="N50" s="96">
        <f t="shared" si="5"/>
        <v>1725</v>
      </c>
      <c r="O50" s="98">
        <f>E32</f>
        <v>75</v>
      </c>
      <c r="P50" s="98">
        <f>E33</f>
        <v>115</v>
      </c>
    </row>
    <row r="51" spans="1:16" s="94" customFormat="1" ht="57" hidden="1" thickBot="1">
      <c r="A51" s="99" t="s">
        <v>73</v>
      </c>
      <c r="B51" s="100">
        <f>calculator!$C$14</f>
        <v>25</v>
      </c>
      <c r="C51" s="100">
        <f t="shared" si="0"/>
        <v>15</v>
      </c>
      <c r="D51" s="101"/>
      <c r="E51" s="100">
        <f t="shared" si="2"/>
        <v>15</v>
      </c>
      <c r="F51" s="100">
        <f>IF(D51&lt;=0,C51*E35,0)</f>
        <v>600</v>
      </c>
      <c r="G51" s="101"/>
      <c r="H51" s="100">
        <f t="shared" si="3"/>
        <v>600</v>
      </c>
      <c r="I51" s="96">
        <v>10</v>
      </c>
      <c r="J51" s="97">
        <f>calculator!$B$12+database!I51-1</f>
        <v>44571</v>
      </c>
      <c r="K51" s="97">
        <f>IF(E51=0,database!J51+database!C51,database!J51+database!E51)</f>
        <v>44586</v>
      </c>
      <c r="L51" s="96">
        <f>H51</f>
        <v>600</v>
      </c>
      <c r="M51" s="96"/>
      <c r="N51" s="102"/>
      <c r="O51" s="98">
        <f>E35</f>
        <v>40</v>
      </c>
      <c r="P51" s="102"/>
    </row>
    <row r="52" spans="1:16" s="94" customFormat="1" ht="56.25" hidden="1">
      <c r="A52" s="99" t="s">
        <v>74</v>
      </c>
      <c r="B52" s="100">
        <f>calculator!$C$14</f>
        <v>25</v>
      </c>
      <c r="C52" s="100">
        <f t="shared" si="0"/>
        <v>15</v>
      </c>
      <c r="D52" s="101"/>
      <c r="E52" s="100">
        <f t="shared" si="2"/>
        <v>15</v>
      </c>
      <c r="F52" s="100">
        <f>IF(D52&lt;=0,C52*E37,0)</f>
        <v>1050</v>
      </c>
      <c r="G52" s="101"/>
      <c r="H52" s="100">
        <f t="shared" si="3"/>
        <v>1050</v>
      </c>
      <c r="I52" s="96">
        <v>10</v>
      </c>
      <c r="J52" s="97">
        <f>calculator!$B$12+database!I52-1</f>
        <v>44571</v>
      </c>
      <c r="K52" s="97">
        <f>IF(E52=0,database!J52+database!C52,database!J52+database!E52)</f>
        <v>44586</v>
      </c>
      <c r="L52" s="96">
        <f>H52</f>
        <v>1050</v>
      </c>
      <c r="M52" s="96"/>
      <c r="N52" s="102"/>
      <c r="O52" s="98">
        <f>E37</f>
        <v>70</v>
      </c>
      <c r="P52" s="102"/>
    </row>
    <row r="54" ht="12.75">
      <c r="B54" s="64"/>
    </row>
    <row r="55" ht="12.75">
      <c r="A55" s="76" t="s">
        <v>93</v>
      </c>
    </row>
    <row r="56" spans="1:16" ht="12.75">
      <c r="A56" s="23" t="s">
        <v>118</v>
      </c>
      <c r="B56" s="20">
        <f>calculator!$C$13</f>
        <v>11</v>
      </c>
      <c r="C56" s="20">
        <f aca="true" t="shared" si="6" ref="C56:C67">B56-I56</f>
        <v>5</v>
      </c>
      <c r="D56" s="133">
        <f>C56-9</f>
        <v>-4</v>
      </c>
      <c r="E56" s="20">
        <f aca="true" t="shared" si="7" ref="E56:E67">IF(D56&gt;=0,C56-D56,0)</f>
        <v>0</v>
      </c>
      <c r="F56" s="20">
        <f aca="true" t="shared" si="8" ref="F56:F67">IF(D56&lt;=0,C56*O56,0)</f>
        <v>176.5</v>
      </c>
      <c r="G56" s="20">
        <f aca="true" t="shared" si="9" ref="G56:G67">IF(D56&gt;=1,D56*P56+M56,0)</f>
        <v>0</v>
      </c>
      <c r="H56" s="20">
        <f aca="true" t="shared" si="10" ref="H56:H67">F56+G56</f>
        <v>176.5</v>
      </c>
      <c r="I56" s="133">
        <v>6</v>
      </c>
      <c r="J56" s="141">
        <f>calculator!$B$13+database!I56-1</f>
        <v>44581</v>
      </c>
      <c r="K56" s="36">
        <f>IF(E56=0,database!J56+database!C56,database!J56+database!E56)</f>
        <v>44586</v>
      </c>
      <c r="L56" s="20">
        <f aca="true" t="shared" si="11" ref="L56:L67">IF(F56=0,M56,F56)</f>
        <v>176.5</v>
      </c>
      <c r="M56" s="20">
        <f aca="true" t="shared" si="12" ref="M56:M67">O56*7</f>
        <v>247.09999999999997</v>
      </c>
      <c r="N56" s="20">
        <f aca="true" t="shared" si="13" ref="N56:N67">IF(G56=0,G56,G56-M56)</f>
        <v>0</v>
      </c>
      <c r="O56" s="134">
        <f>$J$12</f>
        <v>35.3</v>
      </c>
      <c r="P56" s="20">
        <f>$J$13</f>
        <v>70.6</v>
      </c>
    </row>
    <row r="57" spans="1:16" ht="12.75">
      <c r="A57" s="23" t="s">
        <v>124</v>
      </c>
      <c r="B57" s="20">
        <f>calculator!$C$13</f>
        <v>11</v>
      </c>
      <c r="C57" s="20">
        <f t="shared" si="6"/>
        <v>9</v>
      </c>
      <c r="D57" s="133">
        <f aca="true" t="shared" si="14" ref="D57:D67">C57-9</f>
        <v>0</v>
      </c>
      <c r="E57" s="20">
        <f t="shared" si="7"/>
        <v>9</v>
      </c>
      <c r="F57" s="20">
        <f t="shared" si="8"/>
        <v>317.7</v>
      </c>
      <c r="G57" s="20">
        <f t="shared" si="9"/>
        <v>0</v>
      </c>
      <c r="H57" s="20">
        <f t="shared" si="10"/>
        <v>317.7</v>
      </c>
      <c r="I57" s="133">
        <v>2</v>
      </c>
      <c r="J57" s="141">
        <f>calculator!$B$13+database!I57-1</f>
        <v>44577</v>
      </c>
      <c r="K57" s="36">
        <f>IF(E57=0,database!J57+database!C57,database!J57+database!E57)</f>
        <v>44586</v>
      </c>
      <c r="L57" s="20">
        <f t="shared" si="11"/>
        <v>317.7</v>
      </c>
      <c r="M57" s="20">
        <f t="shared" si="12"/>
        <v>247.09999999999997</v>
      </c>
      <c r="N57" s="20">
        <f t="shared" si="13"/>
        <v>0</v>
      </c>
      <c r="O57" s="134">
        <f>$J$12</f>
        <v>35.3</v>
      </c>
      <c r="P57" s="20">
        <f>$J$13</f>
        <v>70.6</v>
      </c>
    </row>
    <row r="58" spans="1:16" ht="12.75">
      <c r="A58" s="23" t="s">
        <v>119</v>
      </c>
      <c r="B58" s="20">
        <f>calculator!$C$13</f>
        <v>11</v>
      </c>
      <c r="C58" s="20">
        <f t="shared" si="6"/>
        <v>5</v>
      </c>
      <c r="D58" s="133">
        <f t="shared" si="14"/>
        <v>-4</v>
      </c>
      <c r="E58" s="20">
        <f t="shared" si="7"/>
        <v>0</v>
      </c>
      <c r="F58" s="20">
        <f t="shared" si="8"/>
        <v>353</v>
      </c>
      <c r="G58" s="20">
        <f t="shared" si="9"/>
        <v>0</v>
      </c>
      <c r="H58" s="20">
        <f t="shared" si="10"/>
        <v>353</v>
      </c>
      <c r="I58" s="133">
        <v>6</v>
      </c>
      <c r="J58" s="141">
        <f>calculator!$B$13+database!I58-1</f>
        <v>44581</v>
      </c>
      <c r="K58" s="36">
        <f>IF(E58=0,database!J58+database!C58,database!J58+database!E58)</f>
        <v>44586</v>
      </c>
      <c r="L58" s="20">
        <f t="shared" si="11"/>
        <v>353</v>
      </c>
      <c r="M58" s="20">
        <f t="shared" si="12"/>
        <v>494.19999999999993</v>
      </c>
      <c r="N58" s="20">
        <f t="shared" si="13"/>
        <v>0</v>
      </c>
      <c r="O58" s="134">
        <f>$J$14</f>
        <v>70.6</v>
      </c>
      <c r="P58" s="20">
        <f>$J$15</f>
        <v>141.2</v>
      </c>
    </row>
    <row r="59" spans="1:16" ht="12.75">
      <c r="A59" s="23" t="s">
        <v>125</v>
      </c>
      <c r="B59" s="20">
        <f>calculator!$C$13</f>
        <v>11</v>
      </c>
      <c r="C59" s="20">
        <f t="shared" si="6"/>
        <v>9</v>
      </c>
      <c r="D59" s="133">
        <f t="shared" si="14"/>
        <v>0</v>
      </c>
      <c r="E59" s="20">
        <f t="shared" si="7"/>
        <v>9</v>
      </c>
      <c r="F59" s="20">
        <f t="shared" si="8"/>
        <v>635.4</v>
      </c>
      <c r="G59" s="20">
        <f t="shared" si="9"/>
        <v>0</v>
      </c>
      <c r="H59" s="20">
        <f t="shared" si="10"/>
        <v>635.4</v>
      </c>
      <c r="I59" s="133">
        <v>2</v>
      </c>
      <c r="J59" s="141">
        <f>calculator!$B$13+database!I59-1</f>
        <v>44577</v>
      </c>
      <c r="K59" s="36">
        <f>IF(E59=0,database!J59+database!C59,database!J59+database!E59)</f>
        <v>44586</v>
      </c>
      <c r="L59" s="20">
        <f t="shared" si="11"/>
        <v>635.4</v>
      </c>
      <c r="M59" s="20">
        <f t="shared" si="12"/>
        <v>494.19999999999993</v>
      </c>
      <c r="N59" s="20">
        <f t="shared" si="13"/>
        <v>0</v>
      </c>
      <c r="O59" s="134">
        <f>$J$14</f>
        <v>70.6</v>
      </c>
      <c r="P59" s="20">
        <f>$J$15</f>
        <v>141.2</v>
      </c>
    </row>
    <row r="60" spans="1:16" ht="12.75">
      <c r="A60" s="23" t="s">
        <v>120</v>
      </c>
      <c r="B60" s="20">
        <f>calculator!$C$13</f>
        <v>11</v>
      </c>
      <c r="C60" s="20">
        <f t="shared" si="6"/>
        <v>5</v>
      </c>
      <c r="D60" s="133">
        <f t="shared" si="14"/>
        <v>-4</v>
      </c>
      <c r="E60" s="20">
        <f t="shared" si="7"/>
        <v>0</v>
      </c>
      <c r="F60" s="20">
        <f t="shared" si="8"/>
        <v>176.5</v>
      </c>
      <c r="G60" s="20">
        <f t="shared" si="9"/>
        <v>0</v>
      </c>
      <c r="H60" s="20">
        <f t="shared" si="10"/>
        <v>176.5</v>
      </c>
      <c r="I60" s="133">
        <v>6</v>
      </c>
      <c r="J60" s="141">
        <f>calculator!$B$13+database!I60-1</f>
        <v>44581</v>
      </c>
      <c r="K60" s="36">
        <f>IF(E60=0,database!J60+database!C60,database!J60+database!E60)</f>
        <v>44586</v>
      </c>
      <c r="L60" s="20">
        <f t="shared" si="11"/>
        <v>176.5</v>
      </c>
      <c r="M60" s="20">
        <f t="shared" si="12"/>
        <v>247.09999999999997</v>
      </c>
      <c r="N60" s="20">
        <f t="shared" si="13"/>
        <v>0</v>
      </c>
      <c r="O60" s="134">
        <f>$J$12</f>
        <v>35.3</v>
      </c>
      <c r="P60" s="20">
        <f>$J$13</f>
        <v>70.6</v>
      </c>
    </row>
    <row r="61" spans="1:16" ht="12.75">
      <c r="A61" s="23" t="s">
        <v>126</v>
      </c>
      <c r="B61" s="20">
        <f>calculator!$C$13</f>
        <v>11</v>
      </c>
      <c r="C61" s="20">
        <f t="shared" si="6"/>
        <v>9</v>
      </c>
      <c r="D61" s="133">
        <f t="shared" si="14"/>
        <v>0</v>
      </c>
      <c r="E61" s="20">
        <f t="shared" si="7"/>
        <v>9</v>
      </c>
      <c r="F61" s="20">
        <f t="shared" si="8"/>
        <v>317.7</v>
      </c>
      <c r="G61" s="20">
        <f t="shared" si="9"/>
        <v>0</v>
      </c>
      <c r="H61" s="20">
        <f t="shared" si="10"/>
        <v>317.7</v>
      </c>
      <c r="I61" s="133">
        <v>2</v>
      </c>
      <c r="J61" s="141">
        <f>calculator!$B$13+database!I61-1</f>
        <v>44577</v>
      </c>
      <c r="K61" s="36">
        <f>IF(E61=0,database!J61+database!C61,database!J61+database!E61)</f>
        <v>44586</v>
      </c>
      <c r="L61" s="20">
        <f t="shared" si="11"/>
        <v>317.7</v>
      </c>
      <c r="M61" s="20">
        <f t="shared" si="12"/>
        <v>247.09999999999997</v>
      </c>
      <c r="N61" s="20">
        <f t="shared" si="13"/>
        <v>0</v>
      </c>
      <c r="O61" s="134">
        <f>$J$12</f>
        <v>35.3</v>
      </c>
      <c r="P61" s="20">
        <f>$J$13</f>
        <v>70.6</v>
      </c>
    </row>
    <row r="62" spans="1:16" ht="12.75">
      <c r="A62" s="23" t="s">
        <v>121</v>
      </c>
      <c r="B62" s="20">
        <f>calculator!$C$13</f>
        <v>11</v>
      </c>
      <c r="C62" s="20">
        <f t="shared" si="6"/>
        <v>5</v>
      </c>
      <c r="D62" s="133">
        <f t="shared" si="14"/>
        <v>-4</v>
      </c>
      <c r="E62" s="20">
        <f t="shared" si="7"/>
        <v>0</v>
      </c>
      <c r="F62" s="20">
        <f t="shared" si="8"/>
        <v>353</v>
      </c>
      <c r="G62" s="20">
        <f t="shared" si="9"/>
        <v>0</v>
      </c>
      <c r="H62" s="20">
        <f t="shared" si="10"/>
        <v>353</v>
      </c>
      <c r="I62" s="133">
        <v>6</v>
      </c>
      <c r="J62" s="141">
        <f>calculator!$B$13+database!I62-1</f>
        <v>44581</v>
      </c>
      <c r="K62" s="36">
        <f>IF(E62=0,database!J62+database!C62,database!J62+database!E62)</f>
        <v>44586</v>
      </c>
      <c r="L62" s="20">
        <f t="shared" si="11"/>
        <v>353</v>
      </c>
      <c r="M62" s="20">
        <f t="shared" si="12"/>
        <v>494.19999999999993</v>
      </c>
      <c r="N62" s="20">
        <f t="shared" si="13"/>
        <v>0</v>
      </c>
      <c r="O62" s="134">
        <f>$J$14</f>
        <v>70.6</v>
      </c>
      <c r="P62" s="20">
        <f>$J$15</f>
        <v>141.2</v>
      </c>
    </row>
    <row r="63" spans="1:16" ht="12.75">
      <c r="A63" s="23" t="s">
        <v>127</v>
      </c>
      <c r="B63" s="20">
        <f>calculator!$C$13</f>
        <v>11</v>
      </c>
      <c r="C63" s="20">
        <f t="shared" si="6"/>
        <v>9</v>
      </c>
      <c r="D63" s="133">
        <f t="shared" si="14"/>
        <v>0</v>
      </c>
      <c r="E63" s="20">
        <f t="shared" si="7"/>
        <v>9</v>
      </c>
      <c r="F63" s="20">
        <f t="shared" si="8"/>
        <v>635.4</v>
      </c>
      <c r="G63" s="20">
        <f t="shared" si="9"/>
        <v>0</v>
      </c>
      <c r="H63" s="20">
        <f t="shared" si="10"/>
        <v>635.4</v>
      </c>
      <c r="I63" s="133">
        <v>2</v>
      </c>
      <c r="J63" s="141">
        <f>calculator!$B$13+database!I63-1</f>
        <v>44577</v>
      </c>
      <c r="K63" s="36">
        <f>IF(E63=0,database!J63+database!C63,database!J63+database!E63)</f>
        <v>44586</v>
      </c>
      <c r="L63" s="20">
        <f t="shared" si="11"/>
        <v>635.4</v>
      </c>
      <c r="M63" s="20">
        <f t="shared" si="12"/>
        <v>494.19999999999993</v>
      </c>
      <c r="N63" s="20">
        <f t="shared" si="13"/>
        <v>0</v>
      </c>
      <c r="O63" s="134">
        <f>$J$14</f>
        <v>70.6</v>
      </c>
      <c r="P63" s="20">
        <f>$J$15</f>
        <v>141.2</v>
      </c>
    </row>
    <row r="64" spans="1:16" ht="12.75">
      <c r="A64" s="23" t="s">
        <v>122</v>
      </c>
      <c r="B64" s="20">
        <f>calculator!$C$13</f>
        <v>11</v>
      </c>
      <c r="C64" s="20">
        <f t="shared" si="6"/>
        <v>5</v>
      </c>
      <c r="D64" s="133">
        <f t="shared" si="14"/>
        <v>-4</v>
      </c>
      <c r="E64" s="20">
        <f t="shared" si="7"/>
        <v>0</v>
      </c>
      <c r="F64" s="20">
        <f t="shared" si="8"/>
        <v>353</v>
      </c>
      <c r="G64" s="20">
        <f t="shared" si="9"/>
        <v>0</v>
      </c>
      <c r="H64" s="20">
        <f t="shared" si="10"/>
        <v>353</v>
      </c>
      <c r="I64" s="133">
        <v>6</v>
      </c>
      <c r="J64" s="141">
        <f>calculator!$B$13+database!I64-1</f>
        <v>44581</v>
      </c>
      <c r="K64" s="36">
        <f>IF(E64=0,database!J64+database!C64,database!J64+database!E64)</f>
        <v>44586</v>
      </c>
      <c r="L64" s="20">
        <f t="shared" si="11"/>
        <v>353</v>
      </c>
      <c r="M64" s="20">
        <f t="shared" si="12"/>
        <v>494.19999999999993</v>
      </c>
      <c r="N64" s="20">
        <f t="shared" si="13"/>
        <v>0</v>
      </c>
      <c r="O64" s="134">
        <f>$J$16</f>
        <v>70.6</v>
      </c>
      <c r="P64" s="134">
        <f>$J$17</f>
        <v>141.2</v>
      </c>
    </row>
    <row r="65" spans="1:16" ht="12.75">
      <c r="A65" s="23" t="s">
        <v>128</v>
      </c>
      <c r="B65" s="20">
        <f>calculator!$C$13</f>
        <v>11</v>
      </c>
      <c r="C65" s="20">
        <f t="shared" si="6"/>
        <v>9</v>
      </c>
      <c r="D65" s="133">
        <f t="shared" si="14"/>
        <v>0</v>
      </c>
      <c r="E65" s="20">
        <f t="shared" si="7"/>
        <v>9</v>
      </c>
      <c r="F65" s="20">
        <f t="shared" si="8"/>
        <v>635.4</v>
      </c>
      <c r="G65" s="20">
        <f t="shared" si="9"/>
        <v>0</v>
      </c>
      <c r="H65" s="20">
        <f t="shared" si="10"/>
        <v>635.4</v>
      </c>
      <c r="I65" s="133">
        <v>2</v>
      </c>
      <c r="J65" s="141">
        <f>calculator!$B$13+database!I65-1</f>
        <v>44577</v>
      </c>
      <c r="K65" s="36">
        <f>IF(E65=0,database!J65+database!C65,database!J65+database!E65)</f>
        <v>44586</v>
      </c>
      <c r="L65" s="20">
        <f t="shared" si="11"/>
        <v>635.4</v>
      </c>
      <c r="M65" s="20">
        <f t="shared" si="12"/>
        <v>494.19999999999993</v>
      </c>
      <c r="N65" s="20">
        <f t="shared" si="13"/>
        <v>0</v>
      </c>
      <c r="O65" s="134">
        <f>$J$16</f>
        <v>70.6</v>
      </c>
      <c r="P65" s="134">
        <f>$J$17</f>
        <v>141.2</v>
      </c>
    </row>
    <row r="66" spans="1:16" ht="12.75">
      <c r="A66" s="23" t="s">
        <v>123</v>
      </c>
      <c r="B66" s="20">
        <f>calculator!$C$13</f>
        <v>11</v>
      </c>
      <c r="C66" s="20">
        <f t="shared" si="6"/>
        <v>5</v>
      </c>
      <c r="D66" s="133">
        <f t="shared" si="14"/>
        <v>-4</v>
      </c>
      <c r="E66" s="20">
        <f t="shared" si="7"/>
        <v>0</v>
      </c>
      <c r="F66" s="20">
        <f t="shared" si="8"/>
        <v>706</v>
      </c>
      <c r="G66" s="20">
        <f t="shared" si="9"/>
        <v>0</v>
      </c>
      <c r="H66" s="20">
        <f t="shared" si="10"/>
        <v>706</v>
      </c>
      <c r="I66" s="133">
        <v>6</v>
      </c>
      <c r="J66" s="141">
        <f>calculator!$B$13+database!I66-1</f>
        <v>44581</v>
      </c>
      <c r="K66" s="36">
        <f>IF(E66=0,database!J66+database!C66,database!J66+database!E66)</f>
        <v>44586</v>
      </c>
      <c r="L66" s="20">
        <f t="shared" si="11"/>
        <v>706</v>
      </c>
      <c r="M66" s="20">
        <f t="shared" si="12"/>
        <v>988.3999999999999</v>
      </c>
      <c r="N66" s="20">
        <f t="shared" si="13"/>
        <v>0</v>
      </c>
      <c r="O66" s="134">
        <f>$J$18</f>
        <v>141.2</v>
      </c>
      <c r="P66" s="134">
        <f>$J$19</f>
        <v>282.4</v>
      </c>
    </row>
    <row r="67" spans="1:16" ht="12.75">
      <c r="A67" s="23" t="s">
        <v>129</v>
      </c>
      <c r="B67" s="20">
        <f>calculator!$C$13</f>
        <v>11</v>
      </c>
      <c r="C67" s="20">
        <f t="shared" si="6"/>
        <v>9</v>
      </c>
      <c r="D67" s="133">
        <f t="shared" si="14"/>
        <v>0</v>
      </c>
      <c r="E67" s="20">
        <f t="shared" si="7"/>
        <v>9</v>
      </c>
      <c r="F67" s="20">
        <f t="shared" si="8"/>
        <v>1270.8</v>
      </c>
      <c r="G67" s="20">
        <f t="shared" si="9"/>
        <v>0</v>
      </c>
      <c r="H67" s="20">
        <f t="shared" si="10"/>
        <v>1270.8</v>
      </c>
      <c r="I67" s="133">
        <v>2</v>
      </c>
      <c r="J67" s="141">
        <f>calculator!$B$13+database!I67-1</f>
        <v>44577</v>
      </c>
      <c r="K67" s="36">
        <f>IF(E67=0,database!J67+database!C67,database!J67+database!E67)</f>
        <v>44586</v>
      </c>
      <c r="L67" s="20">
        <f t="shared" si="11"/>
        <v>1270.8</v>
      </c>
      <c r="M67" s="20">
        <f t="shared" si="12"/>
        <v>988.3999999999999</v>
      </c>
      <c r="N67" s="20">
        <f t="shared" si="13"/>
        <v>0</v>
      </c>
      <c r="O67" s="134">
        <f>$J$18</f>
        <v>141.2</v>
      </c>
      <c r="P67" s="134">
        <f>$J$19</f>
        <v>282.4</v>
      </c>
    </row>
    <row r="70" ht="12.75">
      <c r="A70" s="76" t="s">
        <v>107</v>
      </c>
    </row>
    <row r="71" spans="1:12" ht="12.75">
      <c r="A71" t="s">
        <v>108</v>
      </c>
      <c r="B71" s="20">
        <f>calculator!$C$14</f>
        <v>25</v>
      </c>
      <c r="C71" s="20">
        <f>B71-I71</f>
        <v>23</v>
      </c>
      <c r="I71">
        <v>2</v>
      </c>
      <c r="J71" s="36">
        <f>calculator!$B$12+database!I71</f>
        <v>44564</v>
      </c>
      <c r="K71" s="36">
        <f>IF(E71=0,database!J71+database!C71,database!J71+database!E71)</f>
        <v>44587</v>
      </c>
      <c r="L71" s="20">
        <f>IF(F71=0,M71,F71)</f>
        <v>0</v>
      </c>
    </row>
  </sheetData>
  <sheetProtection selectLockedCells="1"/>
  <mergeCells count="4">
    <mergeCell ref="A2:G2"/>
    <mergeCell ref="A21:G21"/>
    <mergeCell ref="H16:H19"/>
    <mergeCell ref="H12:H15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7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0" customWidth="1"/>
    <col min="2" max="2" width="104.7109375" style="0" bestFit="1" customWidth="1"/>
    <col min="3" max="3" width="10.140625" style="0" bestFit="1" customWidth="1"/>
  </cols>
  <sheetData>
    <row r="1" ht="12.75">
      <c r="A1" s="74">
        <v>2013</v>
      </c>
    </row>
    <row r="4" spans="1:4" ht="12.75">
      <c r="A4" s="91"/>
      <c r="B4" s="92"/>
      <c r="C4" s="92"/>
      <c r="D4" s="106" t="s">
        <v>136</v>
      </c>
    </row>
    <row r="5" spans="1:3" ht="12.75">
      <c r="A5" s="93"/>
      <c r="B5" s="92"/>
      <c r="C5" s="92"/>
    </row>
    <row r="6" spans="1:4" ht="18.75" thickBot="1">
      <c r="A6" s="186" t="s">
        <v>133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>
      <c r="A8" s="62"/>
      <c r="B8" s="29"/>
      <c r="C8" s="63"/>
      <c r="D8" s="63"/>
    </row>
    <row r="9" spans="1:4" ht="18">
      <c r="A9" s="59" t="s">
        <v>102</v>
      </c>
      <c r="B9" s="29"/>
      <c r="C9" s="29"/>
      <c r="D9" s="29"/>
    </row>
    <row r="10" spans="1:4" ht="18">
      <c r="A1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75">
        <f>B14-B12+1</f>
        <v>25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52</v>
      </c>
      <c r="C18" s="66"/>
      <c r="D18" s="64"/>
    </row>
    <row r="19" spans="1:4" ht="13.5" thickBot="1">
      <c r="A19" s="77"/>
      <c r="B19" s="24" t="str">
        <f>CONCATENATE(B18,B17)</f>
        <v>Germany, Belgium, Netherlands, France, Ireland, Scandinavia40' standard</v>
      </c>
      <c r="C19" s="64"/>
      <c r="D19" s="64"/>
    </row>
    <row r="20" spans="1:5" ht="14.25" thickBot="1" thickTop="1">
      <c r="A20" s="81">
        <f>IF(B36&lt;&gt;"FREE",_xlfn.IFERROR(VLOOKUP(B19,database_ntb!A40:I52,9,FALSE),"not found in tariff database"),"FREE")</f>
        <v>10</v>
      </c>
      <c r="B20" s="82">
        <f>_xlfn.IFERROR(VLOOKUP(B19,database_ntb!A40:H52,8,FALSE),"not found in tariff database")</f>
        <v>995</v>
      </c>
      <c r="C20" s="83"/>
      <c r="D20" s="83"/>
      <c r="E20" s="83"/>
    </row>
    <row r="21" spans="1:4" ht="27.75" customHeight="1" thickBot="1">
      <c r="A21" s="78" t="s">
        <v>94</v>
      </c>
      <c r="B21" s="104" t="s">
        <v>171</v>
      </c>
      <c r="C21" s="64"/>
      <c r="D21" s="64"/>
    </row>
    <row r="22" spans="1:4" ht="12.75">
      <c r="A22" s="52" t="s">
        <v>89</v>
      </c>
      <c r="B22" s="50" t="str">
        <f>IF(B36&lt;&gt;"FREE",_xlfn.IFERROR(VLOOKUP(B19,database_ntb!A40:I52,9,FALSE),"not found in tariff database"),"FREE")&amp;" days"</f>
        <v>10 days</v>
      </c>
      <c r="C22" s="64"/>
      <c r="D22" s="64"/>
    </row>
    <row r="23" spans="1:4" ht="12.75">
      <c r="A23" s="53" t="s">
        <v>91</v>
      </c>
      <c r="B23" s="49" t="str">
        <f>C14-A20&amp;" days"</f>
        <v>15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44572</v>
      </c>
      <c r="C25" s="67">
        <f>_xlfn.IFERROR(VLOOKUP(B19,database_ntb!A40:J52,10,FALSE),"not found in tariff database")</f>
        <v>44571</v>
      </c>
      <c r="D25" s="64"/>
    </row>
    <row r="26" spans="1:4" ht="12.75">
      <c r="A26" s="44" t="s">
        <v>87</v>
      </c>
      <c r="B26" s="45">
        <f>IF(C26&gt;B14,"x",C26)</f>
        <v>44578</v>
      </c>
      <c r="C26" s="68">
        <f>IF(B36="FREE","FREE",_xlfn.IFERROR(VLOOKUP(B19,database_ntb!A40:K52,11,FALSE),"not found in tariff database"))</f>
        <v>44578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IF(B36="FREE",0,_xlfn.IFERROR(VLOOKUP(B19,database_ntb!A40:O52,15,FALSE),"not found in tariff database"))</f>
        <v>45</v>
      </c>
      <c r="C28" s="68"/>
      <c r="D28" s="64"/>
    </row>
    <row r="29" spans="1:4" ht="12.75">
      <c r="A29" s="51" t="s">
        <v>85</v>
      </c>
      <c r="B29" s="41">
        <f>IF(B36="FREE",0,_xlfn.IFERROR(VLOOKUP(B19,database_ntb!A40:L52,12,FALSE),"not found in tariff database"))</f>
        <v>315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44579</v>
      </c>
      <c r="C31" s="64"/>
      <c r="D31" s="64"/>
    </row>
    <row r="32" spans="1:4" ht="12.75">
      <c r="A32" s="44" t="s">
        <v>87</v>
      </c>
      <c r="B32" s="45">
        <f>IF(B14&lt;=B26,"x",B14)</f>
        <v>44586</v>
      </c>
      <c r="C32" s="64"/>
      <c r="D32" s="64"/>
    </row>
    <row r="33" spans="1:4" ht="12.75">
      <c r="A33" s="55" t="s">
        <v>90</v>
      </c>
      <c r="B33" s="48">
        <f>_xlfn.IFERROR((B32+1)-B31,"x")</f>
        <v>8</v>
      </c>
      <c r="C33" s="64"/>
      <c r="D33" s="64"/>
    </row>
    <row r="34" spans="1:4" ht="12.75">
      <c r="A34" s="46" t="s">
        <v>81</v>
      </c>
      <c r="B34" s="47">
        <f>IF(B36="FREE",0,_xlfn.IFERROR(VLOOKUP(B19,database_ntb!A40:P52,16,FALSE),"not found in tariff database"))</f>
        <v>85</v>
      </c>
      <c r="C34" s="64"/>
      <c r="D34" s="64"/>
    </row>
    <row r="35" spans="1:4" ht="13.5" thickBot="1">
      <c r="A35" s="51" t="s">
        <v>86</v>
      </c>
      <c r="B35" s="43">
        <f>_xlfn.IFERROR(VLOOKUP(B19,database_ntb!A40:N52,14,FALSE),"not found in tariff database")</f>
        <v>680</v>
      </c>
      <c r="C35" s="64"/>
      <c r="D35" s="64"/>
    </row>
    <row r="36" spans="1:4" ht="16.5" thickBot="1">
      <c r="A36" s="57" t="s">
        <v>99</v>
      </c>
      <c r="B36" s="58">
        <f>IF(B20&gt;0,B20,"FREE")</f>
        <v>995</v>
      </c>
      <c r="C36" s="69"/>
      <c r="D36" s="64"/>
    </row>
    <row r="37" ht="12.75">
      <c r="B37" s="24" t="str">
        <f>CONCATENATE(C15,B15)</f>
        <v>40' standardNein</v>
      </c>
    </row>
    <row r="38" spans="1:2" ht="13.5" thickBot="1">
      <c r="A38" s="24">
        <f>IF(B54&lt;&gt;"FREE",_xlfn.IFERROR(VLOOKUP(B37,database_ntb!A56:I67,9,FALSE),"not found in tariff database"),"FREE")</f>
        <v>5</v>
      </c>
      <c r="B38" s="24">
        <f>_xlfn.IFERROR(VLOOKUP(B37,database_ntb!A56:H67,8,FALSE),"not found in tariff database")</f>
        <v>598.9200000000001</v>
      </c>
    </row>
    <row r="39" spans="1:2" ht="13.5" thickBot="1">
      <c r="A39" s="78" t="s">
        <v>95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IF(B54&lt;&gt;"FREE",_xlfn.IFERROR(VLOOKUP(B37,database_ntb!A56:I67,9,FALSE),"not found in tariff database"),"FREE")&amp;" days"</f>
        <v>5 days</v>
      </c>
    </row>
    <row r="41" spans="1:2" ht="12.75">
      <c r="A41" s="53" t="s">
        <v>101</v>
      </c>
      <c r="B41" s="49" t="str">
        <f>C13-A38&amp;" days"</f>
        <v>6 days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>
        <f>IF(B54&lt;&gt;"FREE",C43+1,"FREE")</f>
        <v>44581</v>
      </c>
      <c r="C43" s="68">
        <f>_xlfn.IFERROR(VLOOKUP(B37,database_ntb!A56:J67,10,FALSE),"not found in tariff database")</f>
        <v>44580</v>
      </c>
    </row>
    <row r="44" spans="1:3" ht="12.75">
      <c r="A44" s="44" t="s">
        <v>87</v>
      </c>
      <c r="B44" s="45">
        <f>IF(C44&gt;B14,"x",C44)</f>
        <v>44585</v>
      </c>
      <c r="C44" s="68">
        <f>IF(B54="FREE","FREE",_xlfn.IFERROR(VLOOKUP(B37,database_ntb!A56:K67,11,FALSE),"not found in tariff database"))</f>
        <v>44585</v>
      </c>
    </row>
    <row r="45" spans="1:2" ht="12.75">
      <c r="A45" s="55" t="s">
        <v>90</v>
      </c>
      <c r="B45" s="48">
        <f>(B44+1)-B43</f>
        <v>5</v>
      </c>
    </row>
    <row r="46" spans="1:2" ht="12.75">
      <c r="A46" s="46" t="s">
        <v>82</v>
      </c>
      <c r="B46" s="47">
        <f>IF(B54="FREE",0,_xlfn.IFERROR(VLOOKUP(B37,database_ntb!A56:O67,15,FALSE),"not found in tariff database"))</f>
        <v>85.56</v>
      </c>
    </row>
    <row r="47" spans="1:2" ht="12.75">
      <c r="A47" s="51" t="s">
        <v>85</v>
      </c>
      <c r="B47" s="41">
        <f>IF(B54="FREE",0,_xlfn.IFERROR(VLOOKUP(B37,database_ntb!A56:L67,12,FALSE),"not found in tariff database"))</f>
        <v>427.8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>
        <f>IF(OR(B50="x",B50&lt;=B44),"x",B44+1)</f>
        <v>44586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>
        <f>_xlfn.IFERROR((B50+1)-B49,"x")</f>
        <v>1</v>
      </c>
    </row>
    <row r="52" spans="1:2" ht="12.75">
      <c r="A52" s="46" t="s">
        <v>81</v>
      </c>
      <c r="B52" s="47">
        <f>IF(B54="FREE",0,_xlfn.IFERROR(VLOOKUP(B37,database_ntb!A56:P67,16,FALSE),"not found in tariff database"))</f>
        <v>171.12</v>
      </c>
    </row>
    <row r="53" spans="1:2" ht="13.5" thickBot="1">
      <c r="A53" s="51" t="s">
        <v>86</v>
      </c>
      <c r="B53" s="43">
        <f>_xlfn.IFERROR(VLOOKUP(B37,database_ntb!A56:N67,14,FALSE),"not found in tariff database")</f>
        <v>171.12000000000006</v>
      </c>
    </row>
    <row r="54" spans="1:2" ht="16.5" thickBot="1">
      <c r="A54" s="57" t="s">
        <v>100</v>
      </c>
      <c r="B54" s="58">
        <f>IF(B38&gt;0,B38,"FREE")</f>
        <v>598.9200000000001</v>
      </c>
    </row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24">
        <f>(B62-B61)+1</f>
        <v>9</v>
      </c>
    </row>
    <row r="60" spans="1:2" ht="12.75">
      <c r="A60" s="54" t="s">
        <v>110</v>
      </c>
      <c r="B60" s="40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IF(C17="reefer",C59*database_ntb!M11,"NOT APPLICABLE")</f>
        <v>NOT APPLICABLE</v>
      </c>
    </row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2">
    <mergeCell ref="A7:D7"/>
    <mergeCell ref="A6:D6"/>
  </mergeCells>
  <dataValidations count="4">
    <dataValidation type="list" allowBlank="1" showInputMessage="1" showErrorMessage="1" sqref="B18">
      <formula1>$A$65:$A$66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5">
      <formula1>$D$65:$D$66</formula1>
    </dataValidation>
    <dataValidation allowBlank="1" showInputMessage="1" showErrorMessage="1" promptTitle="INPUT FORMAT" prompt="The following formats are accepted:&#10;dd.mm.yy&#10;dd.mm.yyyy&#10;dd/mm/yy&#10;dd/mm/yyyy" sqref="B12:B14"/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71"/>
  <sheetViews>
    <sheetView zoomScale="80" zoomScaleNormal="80" zoomScalePageLayoutView="0" workbookViewId="0" topLeftCell="A1">
      <selection activeCell="L24" sqref="L24"/>
    </sheetView>
  </sheetViews>
  <sheetFormatPr defaultColWidth="22.28125" defaultRowHeight="12.75"/>
  <cols>
    <col min="1" max="2" width="22.28125" style="0" customWidth="1"/>
    <col min="3" max="3" width="15.140625" style="0" bestFit="1" customWidth="1"/>
    <col min="4" max="4" width="16.140625" style="0" bestFit="1" customWidth="1"/>
    <col min="5" max="5" width="15.28125" style="0" bestFit="1" customWidth="1"/>
    <col min="6" max="6" width="12.28125" style="0" bestFit="1" customWidth="1"/>
    <col min="7" max="7" width="18.140625" style="0" bestFit="1" customWidth="1"/>
    <col min="8" max="8" width="22.28125" style="0" customWidth="1"/>
    <col min="9" max="9" width="11.28125" style="0" customWidth="1"/>
    <col min="10" max="10" width="21.00390625" style="0" bestFit="1" customWidth="1"/>
    <col min="11" max="12" width="22.28125" style="0" customWidth="1"/>
    <col min="13" max="13" width="17.8515625" style="0" bestFit="1" customWidth="1"/>
    <col min="14" max="15" width="22.28125" style="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t="s">
        <v>97</v>
      </c>
    </row>
    <row r="3" spans="1:10" ht="12.75">
      <c r="A3" s="7" t="s">
        <v>45</v>
      </c>
      <c r="B3" s="8" t="s">
        <v>30</v>
      </c>
      <c r="C3" s="9" t="s">
        <v>1</v>
      </c>
      <c r="D3" s="10" t="s">
        <v>2</v>
      </c>
      <c r="E3" s="30" t="s">
        <v>3</v>
      </c>
      <c r="F3" s="31">
        <v>44197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182</v>
      </c>
      <c r="C4" s="2" t="s">
        <v>1</v>
      </c>
      <c r="D4" s="3" t="s">
        <v>2</v>
      </c>
      <c r="E4" s="32">
        <v>35</v>
      </c>
      <c r="F4" s="33">
        <v>44197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183</v>
      </c>
      <c r="C5" s="14" t="s">
        <v>1</v>
      </c>
      <c r="D5" s="15" t="s">
        <v>2</v>
      </c>
      <c r="E5" s="34">
        <v>55</v>
      </c>
      <c r="F5" s="35">
        <v>44197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33</v>
      </c>
      <c r="C6" s="9" t="s">
        <v>1</v>
      </c>
      <c r="D6" s="10" t="s">
        <v>2</v>
      </c>
      <c r="E6" s="30" t="s">
        <v>3</v>
      </c>
      <c r="F6" s="31">
        <v>44197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184</v>
      </c>
      <c r="C7" s="2" t="s">
        <v>1</v>
      </c>
      <c r="D7" s="3" t="s">
        <v>2</v>
      </c>
      <c r="E7" s="32">
        <v>45</v>
      </c>
      <c r="F7" s="33">
        <v>44197</v>
      </c>
      <c r="G7" s="17" t="s">
        <v>27</v>
      </c>
    </row>
    <row r="8" spans="1:7" ht="13.5" thickBot="1">
      <c r="A8" s="12" t="s">
        <v>46</v>
      </c>
      <c r="B8" s="13" t="s">
        <v>185</v>
      </c>
      <c r="C8" s="14" t="s">
        <v>1</v>
      </c>
      <c r="D8" s="15" t="s">
        <v>2</v>
      </c>
      <c r="E8" s="34">
        <v>85</v>
      </c>
      <c r="F8" s="35">
        <v>44197</v>
      </c>
      <c r="G8" s="18" t="s">
        <v>27</v>
      </c>
    </row>
    <row r="9" spans="1:7" ht="13.5" thickBot="1">
      <c r="A9" s="7" t="s">
        <v>47</v>
      </c>
      <c r="B9" s="8" t="s">
        <v>186</v>
      </c>
      <c r="C9" s="9" t="s">
        <v>1</v>
      </c>
      <c r="D9" s="10" t="s">
        <v>2</v>
      </c>
      <c r="E9" s="30" t="s">
        <v>3</v>
      </c>
      <c r="F9" s="31">
        <v>44197</v>
      </c>
      <c r="G9" s="16" t="s">
        <v>27</v>
      </c>
    </row>
    <row r="10" spans="1:13" ht="12.75">
      <c r="A10" s="11" t="s">
        <v>47</v>
      </c>
      <c r="B10" s="1" t="s">
        <v>187</v>
      </c>
      <c r="C10" s="2" t="s">
        <v>1</v>
      </c>
      <c r="D10" s="3" t="s">
        <v>2</v>
      </c>
      <c r="E10" s="32">
        <v>75</v>
      </c>
      <c r="F10" s="33">
        <v>44197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188</v>
      </c>
      <c r="C11" s="14" t="s">
        <v>1</v>
      </c>
      <c r="D11" s="15" t="s">
        <v>2</v>
      </c>
      <c r="E11" s="34">
        <v>111</v>
      </c>
      <c r="F11" s="35">
        <v>44197</v>
      </c>
      <c r="G11" s="18" t="s">
        <v>27</v>
      </c>
      <c r="I11" s="131" t="s">
        <v>54</v>
      </c>
      <c r="J11" s="132"/>
      <c r="L11" s="72" t="s">
        <v>112</v>
      </c>
      <c r="M11" s="73">
        <v>110</v>
      </c>
    </row>
    <row r="12" spans="1:12" ht="12.75">
      <c r="A12" s="7" t="s">
        <v>48</v>
      </c>
      <c r="B12" s="8" t="s">
        <v>189</v>
      </c>
      <c r="C12" s="9" t="s">
        <v>1</v>
      </c>
      <c r="D12" s="10" t="s">
        <v>2</v>
      </c>
      <c r="E12" s="30" t="s">
        <v>3</v>
      </c>
      <c r="F12" s="31">
        <v>44197</v>
      </c>
      <c r="G12" s="16" t="s">
        <v>27</v>
      </c>
      <c r="H12" s="196" t="s">
        <v>179</v>
      </c>
      <c r="I12" s="107" t="s">
        <v>150</v>
      </c>
      <c r="J12" s="148">
        <v>42.78</v>
      </c>
      <c r="K12" s="147" t="s">
        <v>105</v>
      </c>
      <c r="L12" s="92"/>
    </row>
    <row r="13" spans="1:12" ht="13.5" thickBot="1">
      <c r="A13" s="11" t="s">
        <v>48</v>
      </c>
      <c r="B13" s="1" t="s">
        <v>190</v>
      </c>
      <c r="C13" s="2" t="s">
        <v>1</v>
      </c>
      <c r="D13" s="3" t="s">
        <v>2</v>
      </c>
      <c r="E13" s="32">
        <v>111</v>
      </c>
      <c r="F13" s="33">
        <v>44197</v>
      </c>
      <c r="G13" s="17" t="s">
        <v>27</v>
      </c>
      <c r="H13" s="197"/>
      <c r="I13" s="150" t="s">
        <v>137</v>
      </c>
      <c r="J13" s="149">
        <f>J12*2</f>
        <v>85.56</v>
      </c>
      <c r="K13" s="151" t="s">
        <v>105</v>
      </c>
      <c r="L13" s="92"/>
    </row>
    <row r="14" spans="1:12" ht="13.5" thickBot="1">
      <c r="A14" s="12" t="s">
        <v>48</v>
      </c>
      <c r="B14" s="13" t="s">
        <v>191</v>
      </c>
      <c r="C14" s="14" t="s">
        <v>1</v>
      </c>
      <c r="D14" s="15" t="s">
        <v>2</v>
      </c>
      <c r="E14" s="34">
        <v>151</v>
      </c>
      <c r="F14" s="35">
        <v>44197</v>
      </c>
      <c r="G14" s="18" t="s">
        <v>27</v>
      </c>
      <c r="H14" s="197"/>
      <c r="I14" s="142" t="s">
        <v>150</v>
      </c>
      <c r="J14" s="146">
        <f>J12*2</f>
        <v>85.56</v>
      </c>
      <c r="K14" s="152" t="s">
        <v>106</v>
      </c>
      <c r="L14" s="92"/>
    </row>
    <row r="15" spans="1:12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44197</v>
      </c>
      <c r="G15" s="16" t="s">
        <v>27</v>
      </c>
      <c r="H15" s="198"/>
      <c r="I15" s="150" t="s">
        <v>137</v>
      </c>
      <c r="J15" s="149">
        <f>J13*2</f>
        <v>171.12</v>
      </c>
      <c r="K15" s="151" t="s">
        <v>106</v>
      </c>
      <c r="L15" s="92"/>
    </row>
    <row r="16" spans="1:12" ht="13.5" thickBot="1">
      <c r="A16" s="11" t="s">
        <v>49</v>
      </c>
      <c r="B16" s="1" t="s">
        <v>192</v>
      </c>
      <c r="C16" s="2" t="s">
        <v>1</v>
      </c>
      <c r="D16" s="3" t="s">
        <v>2</v>
      </c>
      <c r="E16" s="32">
        <v>75</v>
      </c>
      <c r="F16" s="33">
        <v>44197</v>
      </c>
      <c r="G16" s="17" t="s">
        <v>27</v>
      </c>
      <c r="H16" s="195" t="s">
        <v>175</v>
      </c>
      <c r="I16" s="107" t="s">
        <v>151</v>
      </c>
      <c r="J16" s="148">
        <v>71.89</v>
      </c>
      <c r="K16" s="147" t="s">
        <v>105</v>
      </c>
      <c r="L16" s="92"/>
    </row>
    <row r="17" spans="1:12" ht="13.5" thickBot="1">
      <c r="A17" s="12" t="s">
        <v>49</v>
      </c>
      <c r="B17" s="13" t="s">
        <v>193</v>
      </c>
      <c r="C17" s="14" t="s">
        <v>1</v>
      </c>
      <c r="D17" s="15" t="s">
        <v>2</v>
      </c>
      <c r="E17" s="34">
        <v>95</v>
      </c>
      <c r="F17" s="35">
        <v>44197</v>
      </c>
      <c r="G17" s="18" t="s">
        <v>27</v>
      </c>
      <c r="H17" s="195"/>
      <c r="I17" s="150" t="s">
        <v>152</v>
      </c>
      <c r="J17" s="149">
        <f>J16*2</f>
        <v>143.78</v>
      </c>
      <c r="K17" s="151" t="s">
        <v>105</v>
      </c>
      <c r="L17" s="92"/>
    </row>
    <row r="18" spans="1:12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44197</v>
      </c>
      <c r="G18" s="16" t="s">
        <v>27</v>
      </c>
      <c r="H18" s="195"/>
      <c r="I18" s="142" t="s">
        <v>151</v>
      </c>
      <c r="J18" s="146">
        <f>J16*2</f>
        <v>143.78</v>
      </c>
      <c r="K18" s="147" t="s">
        <v>106</v>
      </c>
      <c r="L18" s="92"/>
    </row>
    <row r="19" spans="1:12" ht="13.5" thickBot="1">
      <c r="A19" s="11" t="s">
        <v>50</v>
      </c>
      <c r="B19" s="1" t="s">
        <v>194</v>
      </c>
      <c r="C19" s="2" t="s">
        <v>1</v>
      </c>
      <c r="D19" s="3" t="s">
        <v>2</v>
      </c>
      <c r="E19" s="32">
        <v>95</v>
      </c>
      <c r="F19" s="33">
        <v>44197</v>
      </c>
      <c r="G19" s="17" t="s">
        <v>27</v>
      </c>
      <c r="H19" s="195"/>
      <c r="I19" s="150" t="s">
        <v>152</v>
      </c>
      <c r="J19" s="149">
        <f>J17*2</f>
        <v>287.56</v>
      </c>
      <c r="K19" s="151" t="s">
        <v>106</v>
      </c>
      <c r="L19" s="92"/>
    </row>
    <row r="20" spans="1:12" ht="13.5" thickBot="1">
      <c r="A20" s="12" t="s">
        <v>50</v>
      </c>
      <c r="B20" s="13" t="s">
        <v>195</v>
      </c>
      <c r="C20" s="14" t="s">
        <v>1</v>
      </c>
      <c r="D20" s="15" t="s">
        <v>2</v>
      </c>
      <c r="E20" s="34">
        <v>140</v>
      </c>
      <c r="F20" s="35">
        <v>44197</v>
      </c>
      <c r="G20" s="18" t="s">
        <v>27</v>
      </c>
      <c r="H20" s="195" t="s">
        <v>174</v>
      </c>
      <c r="I20" s="107" t="s">
        <v>153</v>
      </c>
      <c r="J20" s="148">
        <v>85.56</v>
      </c>
      <c r="K20" s="152" t="s">
        <v>105</v>
      </c>
      <c r="L20" s="92"/>
    </row>
    <row r="21" spans="1:12" ht="24.75" customHeight="1" thickBot="1">
      <c r="A21" s="192" t="s">
        <v>29</v>
      </c>
      <c r="B21" s="193"/>
      <c r="C21" s="193"/>
      <c r="D21" s="193"/>
      <c r="E21" s="193"/>
      <c r="F21" s="193"/>
      <c r="G21" s="194"/>
      <c r="H21" s="195"/>
      <c r="I21" s="150" t="s">
        <v>137</v>
      </c>
      <c r="J21" s="149">
        <f>J20*2</f>
        <v>171.12</v>
      </c>
      <c r="K21" s="151" t="s">
        <v>105</v>
      </c>
      <c r="L21" s="92"/>
    </row>
    <row r="22" spans="1:12" ht="13.5" thickBot="1">
      <c r="A22" s="109" t="s">
        <v>45</v>
      </c>
      <c r="B22" s="110" t="s">
        <v>30</v>
      </c>
      <c r="C22" s="111" t="s">
        <v>1</v>
      </c>
      <c r="D22" s="112" t="s">
        <v>2</v>
      </c>
      <c r="E22" s="113" t="s">
        <v>3</v>
      </c>
      <c r="F22" s="114">
        <v>41275</v>
      </c>
      <c r="G22" s="115" t="s">
        <v>27</v>
      </c>
      <c r="H22" s="195"/>
      <c r="I22" s="107" t="s">
        <v>153</v>
      </c>
      <c r="J22" s="146">
        <f>J20*2</f>
        <v>171.12</v>
      </c>
      <c r="K22" s="147" t="s">
        <v>106</v>
      </c>
      <c r="L22" s="92"/>
    </row>
    <row r="23" spans="1:12" ht="13.5" thickBot="1">
      <c r="A23" s="116" t="s">
        <v>45</v>
      </c>
      <c r="B23" s="117" t="s">
        <v>31</v>
      </c>
      <c r="C23" s="118" t="s">
        <v>1</v>
      </c>
      <c r="D23" s="119" t="s">
        <v>2</v>
      </c>
      <c r="E23" s="120">
        <v>10</v>
      </c>
      <c r="F23" s="121">
        <v>41275</v>
      </c>
      <c r="G23" s="122" t="s">
        <v>27</v>
      </c>
      <c r="H23" s="195"/>
      <c r="I23" s="150" t="s">
        <v>137</v>
      </c>
      <c r="J23" s="149">
        <f>J21*2</f>
        <v>342.24</v>
      </c>
      <c r="K23" s="151" t="s">
        <v>106</v>
      </c>
      <c r="L23" s="92"/>
    </row>
    <row r="24" spans="1:12" ht="13.5" thickBot="1">
      <c r="A24" s="123" t="s">
        <v>45</v>
      </c>
      <c r="B24" s="124" t="s">
        <v>32</v>
      </c>
      <c r="C24" s="125" t="s">
        <v>1</v>
      </c>
      <c r="D24" s="126" t="s">
        <v>2</v>
      </c>
      <c r="E24" s="127">
        <v>20</v>
      </c>
      <c r="F24" s="128">
        <v>41275</v>
      </c>
      <c r="G24" s="129" t="s">
        <v>27</v>
      </c>
      <c r="I24" s="92"/>
      <c r="J24" s="92"/>
      <c r="K24" s="92"/>
      <c r="L24" s="92"/>
    </row>
    <row r="25" spans="1:12" ht="12.75">
      <c r="A25" s="109" t="s">
        <v>46</v>
      </c>
      <c r="B25" s="110" t="s">
        <v>33</v>
      </c>
      <c r="C25" s="111" t="s">
        <v>1</v>
      </c>
      <c r="D25" s="112" t="s">
        <v>2</v>
      </c>
      <c r="E25" s="113" t="s">
        <v>3</v>
      </c>
      <c r="F25" s="114">
        <v>41275</v>
      </c>
      <c r="G25" s="115" t="s">
        <v>27</v>
      </c>
      <c r="I25" s="92"/>
      <c r="J25" s="92"/>
      <c r="K25" s="92"/>
      <c r="L25" s="92"/>
    </row>
    <row r="26" spans="1:12" ht="12.75">
      <c r="A26" s="116" t="s">
        <v>46</v>
      </c>
      <c r="B26" s="117" t="s">
        <v>34</v>
      </c>
      <c r="C26" s="118" t="s">
        <v>1</v>
      </c>
      <c r="D26" s="119" t="s">
        <v>2</v>
      </c>
      <c r="E26" s="120">
        <v>20</v>
      </c>
      <c r="F26" s="121">
        <v>41275</v>
      </c>
      <c r="G26" s="122" t="s">
        <v>27</v>
      </c>
      <c r="I26" s="92"/>
      <c r="J26" s="92"/>
      <c r="K26" s="92"/>
      <c r="L26" s="92"/>
    </row>
    <row r="27" spans="1:12" ht="13.5" thickBot="1">
      <c r="A27" s="123" t="s">
        <v>46</v>
      </c>
      <c r="B27" s="124" t="s">
        <v>35</v>
      </c>
      <c r="C27" s="125" t="s">
        <v>1</v>
      </c>
      <c r="D27" s="126" t="s">
        <v>2</v>
      </c>
      <c r="E27" s="127">
        <v>30</v>
      </c>
      <c r="F27" s="128">
        <v>41275</v>
      </c>
      <c r="G27" s="129" t="s">
        <v>27</v>
      </c>
      <c r="I27" s="92"/>
      <c r="J27" s="92"/>
      <c r="K27" s="92"/>
      <c r="L27" s="92"/>
    </row>
    <row r="28" spans="1:12" ht="12.75">
      <c r="A28" s="109" t="s">
        <v>47</v>
      </c>
      <c r="B28" s="110" t="s">
        <v>36</v>
      </c>
      <c r="C28" s="111" t="s">
        <v>1</v>
      </c>
      <c r="D28" s="112" t="s">
        <v>2</v>
      </c>
      <c r="E28" s="113" t="s">
        <v>3</v>
      </c>
      <c r="F28" s="114">
        <v>41275</v>
      </c>
      <c r="G28" s="115" t="s">
        <v>27</v>
      </c>
      <c r="I28" s="92"/>
      <c r="J28" s="92"/>
      <c r="K28" s="92"/>
      <c r="L28" s="92"/>
    </row>
    <row r="29" spans="1:12" ht="12.75">
      <c r="A29" s="116" t="s">
        <v>47</v>
      </c>
      <c r="B29" s="117" t="s">
        <v>37</v>
      </c>
      <c r="C29" s="118" t="s">
        <v>1</v>
      </c>
      <c r="D29" s="119" t="s">
        <v>2</v>
      </c>
      <c r="E29" s="120">
        <v>70</v>
      </c>
      <c r="F29" s="121">
        <v>41275</v>
      </c>
      <c r="G29" s="122" t="s">
        <v>27</v>
      </c>
      <c r="I29" s="92"/>
      <c r="J29" s="92"/>
      <c r="K29" s="92"/>
      <c r="L29" s="92"/>
    </row>
    <row r="30" spans="1:12" ht="13.5" thickBot="1">
      <c r="A30" s="123" t="s">
        <v>47</v>
      </c>
      <c r="B30" s="124" t="s">
        <v>11</v>
      </c>
      <c r="C30" s="125" t="s">
        <v>1</v>
      </c>
      <c r="D30" s="126" t="s">
        <v>2</v>
      </c>
      <c r="E30" s="127">
        <v>90</v>
      </c>
      <c r="F30" s="128">
        <v>41275</v>
      </c>
      <c r="G30" s="129" t="s">
        <v>27</v>
      </c>
      <c r="I30" s="92"/>
      <c r="J30" s="92"/>
      <c r="K30" s="92"/>
      <c r="L30" s="92"/>
    </row>
    <row r="31" spans="1:12" ht="12.75">
      <c r="A31" s="109" t="s">
        <v>48</v>
      </c>
      <c r="B31" s="110" t="s">
        <v>38</v>
      </c>
      <c r="C31" s="111" t="s">
        <v>1</v>
      </c>
      <c r="D31" s="112" t="s">
        <v>2</v>
      </c>
      <c r="E31" s="113" t="s">
        <v>3</v>
      </c>
      <c r="F31" s="114">
        <v>41275</v>
      </c>
      <c r="G31" s="115" t="s">
        <v>27</v>
      </c>
      <c r="I31" s="92"/>
      <c r="J31" s="92"/>
      <c r="K31" s="92"/>
      <c r="L31" s="92"/>
    </row>
    <row r="32" spans="1:12" ht="12.75">
      <c r="A32" s="116" t="s">
        <v>48</v>
      </c>
      <c r="B32" s="117" t="s">
        <v>39</v>
      </c>
      <c r="C32" s="118" t="s">
        <v>1</v>
      </c>
      <c r="D32" s="119" t="s">
        <v>2</v>
      </c>
      <c r="E32" s="120">
        <v>75</v>
      </c>
      <c r="F32" s="121">
        <v>41275</v>
      </c>
      <c r="G32" s="122" t="s">
        <v>27</v>
      </c>
      <c r="I32" s="92"/>
      <c r="J32" s="92"/>
      <c r="K32" s="92"/>
      <c r="L32" s="92"/>
    </row>
    <row r="33" spans="1:7" ht="13.5" thickBot="1">
      <c r="A33" s="123" t="s">
        <v>48</v>
      </c>
      <c r="B33" s="124" t="s">
        <v>14</v>
      </c>
      <c r="C33" s="125" t="s">
        <v>1</v>
      </c>
      <c r="D33" s="126" t="s">
        <v>2</v>
      </c>
      <c r="E33" s="127">
        <v>115</v>
      </c>
      <c r="F33" s="128">
        <v>41275</v>
      </c>
      <c r="G33" s="129" t="s">
        <v>27</v>
      </c>
    </row>
    <row r="34" spans="1:7" ht="12.75">
      <c r="A34" s="109" t="s">
        <v>49</v>
      </c>
      <c r="B34" s="110" t="s">
        <v>40</v>
      </c>
      <c r="C34" s="111" t="s">
        <v>1</v>
      </c>
      <c r="D34" s="112" t="s">
        <v>2</v>
      </c>
      <c r="E34" s="113" t="s">
        <v>3</v>
      </c>
      <c r="F34" s="114">
        <v>41275</v>
      </c>
      <c r="G34" s="115" t="s">
        <v>27</v>
      </c>
    </row>
    <row r="35" spans="1:7" ht="13.5" thickBot="1">
      <c r="A35" s="123" t="s">
        <v>49</v>
      </c>
      <c r="B35" s="124" t="s">
        <v>41</v>
      </c>
      <c r="C35" s="125" t="s">
        <v>1</v>
      </c>
      <c r="D35" s="126" t="s">
        <v>2</v>
      </c>
      <c r="E35" s="127">
        <v>40</v>
      </c>
      <c r="F35" s="128">
        <v>41275</v>
      </c>
      <c r="G35" s="129" t="s">
        <v>27</v>
      </c>
    </row>
    <row r="36" spans="1:7" ht="12.75">
      <c r="A36" s="109" t="s">
        <v>50</v>
      </c>
      <c r="B36" s="110" t="s">
        <v>42</v>
      </c>
      <c r="C36" s="111" t="s">
        <v>1</v>
      </c>
      <c r="D36" s="112" t="s">
        <v>2</v>
      </c>
      <c r="E36" s="113" t="s">
        <v>3</v>
      </c>
      <c r="F36" s="114">
        <v>41275</v>
      </c>
      <c r="G36" s="115" t="s">
        <v>27</v>
      </c>
    </row>
    <row r="37" spans="1:7" ht="13.5" thickBot="1">
      <c r="A37" s="123" t="s">
        <v>50</v>
      </c>
      <c r="B37" s="124" t="s">
        <v>43</v>
      </c>
      <c r="C37" s="125" t="s">
        <v>1</v>
      </c>
      <c r="D37" s="126" t="s">
        <v>2</v>
      </c>
      <c r="E37" s="127">
        <v>70</v>
      </c>
      <c r="F37" s="128">
        <v>41275</v>
      </c>
      <c r="G37" s="129" t="s">
        <v>27</v>
      </c>
    </row>
    <row r="39" ht="12.75">
      <c r="A39" s="76" t="s">
        <v>98</v>
      </c>
    </row>
    <row r="40" spans="1:16" ht="12.75">
      <c r="A40" s="27" t="s">
        <v>61</v>
      </c>
      <c r="B40" s="28" t="s">
        <v>62</v>
      </c>
      <c r="C40" s="28" t="s">
        <v>63</v>
      </c>
      <c r="D40" s="28" t="s">
        <v>64</v>
      </c>
      <c r="E40" s="28" t="s">
        <v>65</v>
      </c>
      <c r="F40" s="28" t="s">
        <v>67</v>
      </c>
      <c r="G40" s="28" t="s">
        <v>68</v>
      </c>
      <c r="H40" s="28" t="s">
        <v>66</v>
      </c>
      <c r="I40" s="28" t="s">
        <v>75</v>
      </c>
      <c r="J40" s="28" t="s">
        <v>77</v>
      </c>
      <c r="K40" s="28" t="s">
        <v>78</v>
      </c>
      <c r="L40" s="37" t="s">
        <v>79</v>
      </c>
      <c r="M40" s="38" t="s">
        <v>80</v>
      </c>
      <c r="N40" s="38" t="s">
        <v>76</v>
      </c>
      <c r="O40" s="38" t="s">
        <v>82</v>
      </c>
      <c r="P40" s="38" t="s">
        <v>81</v>
      </c>
    </row>
    <row r="41" spans="1:16" ht="34.5" thickBot="1">
      <c r="A41" s="25" t="s">
        <v>55</v>
      </c>
      <c r="B41" s="26">
        <f>calculator_ntb!$C$14</f>
        <v>25</v>
      </c>
      <c r="C41" s="26">
        <f aca="true" t="shared" si="0" ref="C41:C52">B41-I41</f>
        <v>15</v>
      </c>
      <c r="D41" s="26">
        <f aca="true" t="shared" si="1" ref="D41:D46">C41-7</f>
        <v>8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685</v>
      </c>
      <c r="H41" s="26">
        <f aca="true" t="shared" si="3" ref="H41:H52">F41+G41</f>
        <v>685</v>
      </c>
      <c r="I41" s="134">
        <v>10</v>
      </c>
      <c r="J41" s="36">
        <f>calculator_ntb!$B$12+database_ntb!I41-1</f>
        <v>44571</v>
      </c>
      <c r="K41" s="36">
        <f>IF(E41=0,database_ntb!J41+database_ntb!C41,database_ntb!J41+database_ntb!E41)</f>
        <v>44578</v>
      </c>
      <c r="L41" s="20">
        <f>IF(F41=0,M41,F41)</f>
        <v>245</v>
      </c>
      <c r="M41" s="134">
        <f>E4*7</f>
        <v>245</v>
      </c>
      <c r="N41" s="20">
        <f>IF(G41=0,G41,G41-M41)</f>
        <v>440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20">
        <f>calculator_ntb!$C$14</f>
        <v>25</v>
      </c>
      <c r="C42" s="20">
        <f t="shared" si="0"/>
        <v>15</v>
      </c>
      <c r="D42" s="20">
        <f t="shared" si="1"/>
        <v>8</v>
      </c>
      <c r="E42" s="20">
        <f t="shared" si="2"/>
        <v>7</v>
      </c>
      <c r="F42" s="20">
        <f>IF(D42&lt;=0,C42*E7,0)</f>
        <v>0</v>
      </c>
      <c r="G42" s="20">
        <f>IF(D42&gt;=1,D42*E8+M42,0)</f>
        <v>995</v>
      </c>
      <c r="H42" s="20">
        <f t="shared" si="3"/>
        <v>995</v>
      </c>
      <c r="I42" s="134">
        <v>10</v>
      </c>
      <c r="J42" s="36">
        <f>calculator_ntb!$B$12+database_ntb!I42-1</f>
        <v>44571</v>
      </c>
      <c r="K42" s="36">
        <f>IF(E42=0,database_ntb!J42+database_ntb!C42,database_ntb!J42+database_ntb!E42)</f>
        <v>44578</v>
      </c>
      <c r="L42" s="20">
        <f aca="true" t="shared" si="4" ref="L42:L50">IF(F42=0,M42,F42)</f>
        <v>315</v>
      </c>
      <c r="M42" s="134">
        <f>E7*7</f>
        <v>315</v>
      </c>
      <c r="N42" s="20">
        <f aca="true" t="shared" si="5" ref="N42:N50">IF(G42=0,G42,G42-M42)</f>
        <v>680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20">
        <f>calculator_ntb!$C$14</f>
        <v>25</v>
      </c>
      <c r="C43" s="20">
        <f t="shared" si="0"/>
        <v>18</v>
      </c>
      <c r="D43" s="20">
        <f t="shared" si="1"/>
        <v>11</v>
      </c>
      <c r="E43" s="20">
        <f t="shared" si="2"/>
        <v>7</v>
      </c>
      <c r="F43" s="20">
        <f>IF(D43&lt;=0,C43*E10,0)</f>
        <v>0</v>
      </c>
      <c r="G43" s="20">
        <f>IF(D43&gt;=1,D43*E11+M43,0)</f>
        <v>1746</v>
      </c>
      <c r="H43" s="20">
        <f t="shared" si="3"/>
        <v>1746</v>
      </c>
      <c r="I43" s="134">
        <v>7</v>
      </c>
      <c r="J43" s="36">
        <f>calculator_ntb!$B$12+database_ntb!I43-1</f>
        <v>44568</v>
      </c>
      <c r="K43" s="36">
        <f>IF(E43=0,database_ntb!J43+database_ntb!C43,database_ntb!J43+database_ntb!E43)</f>
        <v>44575</v>
      </c>
      <c r="L43" s="20">
        <f t="shared" si="4"/>
        <v>525</v>
      </c>
      <c r="M43" s="134">
        <f>E10*7</f>
        <v>525</v>
      </c>
      <c r="N43" s="20">
        <f t="shared" si="5"/>
        <v>1221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20">
        <f>calculator_ntb!$C$14</f>
        <v>25</v>
      </c>
      <c r="C44" s="20">
        <f t="shared" si="0"/>
        <v>18</v>
      </c>
      <c r="D44" s="20">
        <f t="shared" si="1"/>
        <v>11</v>
      </c>
      <c r="E44" s="20">
        <f t="shared" si="2"/>
        <v>7</v>
      </c>
      <c r="F44" s="20">
        <f>IF(D44&lt;=0,C44*E13,0)</f>
        <v>0</v>
      </c>
      <c r="G44" s="20">
        <f>IF(D44&gt;=1,D44*E14+M44,0)</f>
        <v>2438</v>
      </c>
      <c r="H44" s="20">
        <f t="shared" si="3"/>
        <v>2438</v>
      </c>
      <c r="I44" s="134">
        <v>7</v>
      </c>
      <c r="J44" s="36">
        <f>calculator_ntb!$B$12+database_ntb!I44-1</f>
        <v>44568</v>
      </c>
      <c r="K44" s="36">
        <f>IF(E44=0,database_ntb!J44+database_ntb!C44,database_ntb!J44+database_ntb!E44)</f>
        <v>44575</v>
      </c>
      <c r="L44" s="20">
        <f t="shared" si="4"/>
        <v>777</v>
      </c>
      <c r="M44" s="134">
        <f>E13*7</f>
        <v>777</v>
      </c>
      <c r="N44" s="20">
        <f t="shared" si="5"/>
        <v>1661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20">
        <f>calculator_ntb!$C$14</f>
        <v>25</v>
      </c>
      <c r="C45" s="20">
        <f t="shared" si="0"/>
        <v>18</v>
      </c>
      <c r="D45" s="20">
        <f t="shared" si="1"/>
        <v>11</v>
      </c>
      <c r="E45" s="20">
        <f t="shared" si="2"/>
        <v>7</v>
      </c>
      <c r="F45" s="20">
        <f>IF(D45&lt;=0,C45*E16,0)</f>
        <v>0</v>
      </c>
      <c r="G45" s="20">
        <f>IF(D45&gt;=1,D45*E17+M45,0)</f>
        <v>1570</v>
      </c>
      <c r="H45" s="20">
        <f t="shared" si="3"/>
        <v>1570</v>
      </c>
      <c r="I45" s="134">
        <v>7</v>
      </c>
      <c r="J45" s="36">
        <f>calculator_ntb!$B$12+database_ntb!I45-1</f>
        <v>44568</v>
      </c>
      <c r="K45" s="36">
        <f>IF(E45=0,database_ntb!J45+database_ntb!C45,database_ntb!J45+database_ntb!E45)</f>
        <v>44575</v>
      </c>
      <c r="L45" s="20">
        <f t="shared" si="4"/>
        <v>525</v>
      </c>
      <c r="M45" s="134">
        <f>E16*7</f>
        <v>525</v>
      </c>
      <c r="N45" s="20">
        <f t="shared" si="5"/>
        <v>1045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20">
        <f>calculator_ntb!$C$14</f>
        <v>25</v>
      </c>
      <c r="C46" s="20">
        <f t="shared" si="0"/>
        <v>18</v>
      </c>
      <c r="D46" s="20">
        <f t="shared" si="1"/>
        <v>11</v>
      </c>
      <c r="E46" s="20">
        <f t="shared" si="2"/>
        <v>7</v>
      </c>
      <c r="F46" s="20">
        <f>IF(D46&lt;=0,C46*E19,0)</f>
        <v>0</v>
      </c>
      <c r="G46" s="20">
        <f>IF(D46&gt;=1,D46*E20+M46,0)</f>
        <v>2205</v>
      </c>
      <c r="H46" s="20">
        <f t="shared" si="3"/>
        <v>2205</v>
      </c>
      <c r="I46" s="134">
        <v>7</v>
      </c>
      <c r="J46" s="36">
        <f>calculator_ntb!$B$12+database_ntb!I46-1</f>
        <v>44568</v>
      </c>
      <c r="K46" s="36">
        <f>IF(E46=0,database_ntb!J46+database_ntb!C46,database_ntb!J46+database_ntb!E46)</f>
        <v>44575</v>
      </c>
      <c r="L46" s="20">
        <f t="shared" si="4"/>
        <v>665</v>
      </c>
      <c r="M46" s="134">
        <f>E19*7</f>
        <v>665</v>
      </c>
      <c r="N46" s="20">
        <f t="shared" si="5"/>
        <v>1540</v>
      </c>
      <c r="O46" s="39">
        <f>E19</f>
        <v>95</v>
      </c>
      <c r="P46" s="39">
        <f>E20</f>
        <v>140</v>
      </c>
    </row>
    <row r="47" spans="1:16" s="94" customFormat="1" ht="57" hidden="1" thickBot="1">
      <c r="A47" s="95" t="s">
        <v>69</v>
      </c>
      <c r="B47" s="96">
        <f>calculator_ntb!$C$14</f>
        <v>25</v>
      </c>
      <c r="C47" s="96">
        <f t="shared" si="0"/>
        <v>15</v>
      </c>
      <c r="D47" s="96">
        <f>C47-15</f>
        <v>0</v>
      </c>
      <c r="E47" s="96">
        <f t="shared" si="2"/>
        <v>15</v>
      </c>
      <c r="F47" s="96">
        <f>IF(D47&lt;=0,C47*E23,0)</f>
        <v>150</v>
      </c>
      <c r="G47" s="96">
        <f>IF(D47&gt;=1,D47*E24+M47,0)</f>
        <v>0</v>
      </c>
      <c r="H47" s="96">
        <f t="shared" si="3"/>
        <v>150</v>
      </c>
      <c r="I47" s="96">
        <v>10</v>
      </c>
      <c r="J47" s="97">
        <f>calculator_ntb!$B$12+database_ntb!I47-1</f>
        <v>44571</v>
      </c>
      <c r="K47" s="97">
        <f>IF(E47=0,database_ntb!J47+database_ntb!C47,database_ntb!J47+database_ntb!E47)</f>
        <v>44586</v>
      </c>
      <c r="L47" s="96">
        <f t="shared" si="4"/>
        <v>150</v>
      </c>
      <c r="M47" s="96">
        <f>E23*15</f>
        <v>150</v>
      </c>
      <c r="N47" s="96">
        <f t="shared" si="5"/>
        <v>0</v>
      </c>
      <c r="O47" s="98">
        <f>E23</f>
        <v>10</v>
      </c>
      <c r="P47" s="98">
        <f>E24</f>
        <v>20</v>
      </c>
    </row>
    <row r="48" spans="1:16" s="94" customFormat="1" ht="57" hidden="1" thickBot="1">
      <c r="A48" s="99" t="s">
        <v>70</v>
      </c>
      <c r="B48" s="96">
        <f>calculator_ntb!$C$14</f>
        <v>25</v>
      </c>
      <c r="C48" s="96">
        <f t="shared" si="0"/>
        <v>15</v>
      </c>
      <c r="D48" s="96">
        <f>C48-15</f>
        <v>0</v>
      </c>
      <c r="E48" s="96">
        <f t="shared" si="2"/>
        <v>15</v>
      </c>
      <c r="F48" s="96">
        <f>IF(D48&lt;=0,C48*E26,0)</f>
        <v>300</v>
      </c>
      <c r="G48" s="96">
        <f>IF(D48&gt;=1,D48*E27+M48,0)</f>
        <v>0</v>
      </c>
      <c r="H48" s="96">
        <f t="shared" si="3"/>
        <v>300</v>
      </c>
      <c r="I48" s="96">
        <v>10</v>
      </c>
      <c r="J48" s="97">
        <f>calculator_ntb!$B$12+database_ntb!I48-1</f>
        <v>44571</v>
      </c>
      <c r="K48" s="97">
        <f>IF(E48=0,database_ntb!J48+database_ntb!C48,database_ntb!J48+database_ntb!E48)</f>
        <v>44586</v>
      </c>
      <c r="L48" s="96">
        <f t="shared" si="4"/>
        <v>300</v>
      </c>
      <c r="M48" s="96">
        <f>E26*15</f>
        <v>300</v>
      </c>
      <c r="N48" s="96">
        <f t="shared" si="5"/>
        <v>0</v>
      </c>
      <c r="O48" s="98">
        <f>E26</f>
        <v>20</v>
      </c>
      <c r="P48" s="98">
        <f>E27</f>
        <v>30</v>
      </c>
    </row>
    <row r="49" spans="1:16" s="94" customFormat="1" ht="57" hidden="1" thickBot="1">
      <c r="A49" s="99" t="s">
        <v>71</v>
      </c>
      <c r="B49" s="100">
        <f>calculator_ntb!$C$14</f>
        <v>25</v>
      </c>
      <c r="C49" s="100">
        <f t="shared" si="0"/>
        <v>20</v>
      </c>
      <c r="D49" s="100">
        <f>C49-5</f>
        <v>15</v>
      </c>
      <c r="E49" s="100">
        <f t="shared" si="2"/>
        <v>5</v>
      </c>
      <c r="F49" s="100">
        <f>IF(D49&lt;=0,C49*E29,0)</f>
        <v>0</v>
      </c>
      <c r="G49" s="100">
        <f>IF(D49&gt;=1,D49*E30+M49,0)</f>
        <v>1700</v>
      </c>
      <c r="H49" s="100">
        <f t="shared" si="3"/>
        <v>1700</v>
      </c>
      <c r="I49" s="96">
        <v>5</v>
      </c>
      <c r="J49" s="97">
        <f>calculator_ntb!$B$12+database_ntb!I49-1</f>
        <v>44566</v>
      </c>
      <c r="K49" s="97">
        <f>IF(E49=0,database_ntb!J49+database_ntb!C49,database_ntb!J49+database_ntb!E49)</f>
        <v>44571</v>
      </c>
      <c r="L49" s="96">
        <f t="shared" si="4"/>
        <v>350</v>
      </c>
      <c r="M49" s="96">
        <f>E29*5</f>
        <v>350</v>
      </c>
      <c r="N49" s="96">
        <f t="shared" si="5"/>
        <v>1350</v>
      </c>
      <c r="O49" s="98">
        <f>E29</f>
        <v>70</v>
      </c>
      <c r="P49" s="98">
        <f>E30</f>
        <v>90</v>
      </c>
    </row>
    <row r="50" spans="1:16" s="94" customFormat="1" ht="57" hidden="1" thickBot="1">
      <c r="A50" s="99" t="s">
        <v>72</v>
      </c>
      <c r="B50" s="100">
        <f>calculator_ntb!$C$14</f>
        <v>25</v>
      </c>
      <c r="C50" s="100">
        <f t="shared" si="0"/>
        <v>20</v>
      </c>
      <c r="D50" s="100">
        <f>C50-5</f>
        <v>15</v>
      </c>
      <c r="E50" s="100">
        <f t="shared" si="2"/>
        <v>5</v>
      </c>
      <c r="F50" s="100">
        <f>IF(D50&lt;=0,C50*E32,0)</f>
        <v>0</v>
      </c>
      <c r="G50" s="100">
        <f>IF(D50&gt;=1,D50*E33+M50,0)</f>
        <v>2100</v>
      </c>
      <c r="H50" s="100">
        <f t="shared" si="3"/>
        <v>2100</v>
      </c>
      <c r="I50" s="96">
        <v>5</v>
      </c>
      <c r="J50" s="97">
        <f>calculator_ntb!$B$12+database_ntb!I50-1</f>
        <v>44566</v>
      </c>
      <c r="K50" s="97">
        <f>IF(E50=0,database_ntb!J50+database_ntb!C50,database_ntb!J50+database_ntb!E50)</f>
        <v>44571</v>
      </c>
      <c r="L50" s="96">
        <f t="shared" si="4"/>
        <v>375</v>
      </c>
      <c r="M50" s="96">
        <f>E32*5</f>
        <v>375</v>
      </c>
      <c r="N50" s="96">
        <f t="shared" si="5"/>
        <v>1725</v>
      </c>
      <c r="O50" s="98">
        <f>E32</f>
        <v>75</v>
      </c>
      <c r="P50" s="98">
        <f>E33</f>
        <v>115</v>
      </c>
    </row>
    <row r="51" spans="1:16" s="94" customFormat="1" ht="57" hidden="1" thickBot="1">
      <c r="A51" s="99" t="s">
        <v>73</v>
      </c>
      <c r="B51" s="100">
        <f>calculator_ntb!$C$14</f>
        <v>25</v>
      </c>
      <c r="C51" s="100">
        <f t="shared" si="0"/>
        <v>15</v>
      </c>
      <c r="D51" s="101"/>
      <c r="E51" s="100">
        <f t="shared" si="2"/>
        <v>15</v>
      </c>
      <c r="F51" s="100">
        <f>IF(D51&lt;=0,C51*E35,0)</f>
        <v>600</v>
      </c>
      <c r="G51" s="101"/>
      <c r="H51" s="100">
        <f t="shared" si="3"/>
        <v>600</v>
      </c>
      <c r="I51" s="96">
        <v>10</v>
      </c>
      <c r="J51" s="97">
        <f>calculator_ntb!$B$12+database_ntb!I51-1</f>
        <v>44571</v>
      </c>
      <c r="K51" s="97">
        <f>IF(E51=0,database_ntb!J51+database_ntb!C51,database_ntb!J51+database_ntb!E51)</f>
        <v>44586</v>
      </c>
      <c r="L51" s="96">
        <f>H51</f>
        <v>600</v>
      </c>
      <c r="M51" s="96"/>
      <c r="N51" s="102"/>
      <c r="O51" s="98">
        <f>E35</f>
        <v>40</v>
      </c>
      <c r="P51" s="102"/>
    </row>
    <row r="52" spans="1:16" s="94" customFormat="1" ht="56.25" hidden="1">
      <c r="A52" s="99" t="s">
        <v>74</v>
      </c>
      <c r="B52" s="100">
        <f>calculator_ntb!$C$14</f>
        <v>25</v>
      </c>
      <c r="C52" s="100">
        <f t="shared" si="0"/>
        <v>15</v>
      </c>
      <c r="D52" s="101"/>
      <c r="E52" s="100">
        <f t="shared" si="2"/>
        <v>15</v>
      </c>
      <c r="F52" s="100">
        <f>IF(D52&lt;=0,C52*E37,0)</f>
        <v>1050</v>
      </c>
      <c r="G52" s="101"/>
      <c r="H52" s="100">
        <f t="shared" si="3"/>
        <v>1050</v>
      </c>
      <c r="I52" s="96">
        <v>10</v>
      </c>
      <c r="J52" s="97">
        <f>calculator_ntb!$B$12+database_ntb!I52-1</f>
        <v>44571</v>
      </c>
      <c r="K52" s="97">
        <f>IF(E52=0,database_ntb!J52+database_ntb!C52,database_ntb!J52+database_ntb!E52)</f>
        <v>44586</v>
      </c>
      <c r="L52" s="96">
        <f>H52</f>
        <v>1050</v>
      </c>
      <c r="M52" s="96"/>
      <c r="N52" s="102"/>
      <c r="O52" s="98">
        <f>E37</f>
        <v>70</v>
      </c>
      <c r="P52" s="102"/>
    </row>
    <row r="54" ht="12.75">
      <c r="B54" s="64"/>
    </row>
    <row r="55" ht="12.75">
      <c r="A55" s="76" t="s">
        <v>93</v>
      </c>
    </row>
    <row r="56" spans="1:16" ht="12.75">
      <c r="A56" s="23" t="s">
        <v>118</v>
      </c>
      <c r="B56" s="134">
        <f>calculator_ntb!$C$13</f>
        <v>11</v>
      </c>
      <c r="C56" s="134">
        <f aca="true" t="shared" si="6" ref="C56:C67">B56-I56</f>
        <v>6</v>
      </c>
      <c r="D56" s="133">
        <f>C56-5</f>
        <v>1</v>
      </c>
      <c r="E56" s="134">
        <f aca="true" t="shared" si="7" ref="E56:E67">IF(D56&gt;=0,C56-D56,0)</f>
        <v>5</v>
      </c>
      <c r="F56" s="134">
        <f aca="true" t="shared" si="8" ref="F56:F67">IF(D56&lt;=0,C56*O56,0)</f>
        <v>0</v>
      </c>
      <c r="G56" s="134">
        <f aca="true" t="shared" si="9" ref="G56:G67">IF(D56&gt;=1,D56*P56+M56,0)</f>
        <v>299.46000000000004</v>
      </c>
      <c r="H56" s="134">
        <f aca="true" t="shared" si="10" ref="H56:H67">F56+G56</f>
        <v>299.46000000000004</v>
      </c>
      <c r="I56" s="133">
        <v>5</v>
      </c>
      <c r="J56" s="141">
        <f>calculator_ntb!$B$13+database_ntb!I56-1</f>
        <v>44580</v>
      </c>
      <c r="K56" s="137">
        <f>IF(E56=0,database_ntb!J56+database_ntb!C56,database_ntb!J56+database_ntb!E56)</f>
        <v>44585</v>
      </c>
      <c r="L56" s="134">
        <f aca="true" t="shared" si="11" ref="L56:L67">IF(F56=0,M56,F56)</f>
        <v>213.9</v>
      </c>
      <c r="M56" s="134">
        <f>O56*5</f>
        <v>213.9</v>
      </c>
      <c r="N56" s="134">
        <f aca="true" t="shared" si="12" ref="N56:N67">IF(G56=0,G56,G56-M56)</f>
        <v>85.56000000000003</v>
      </c>
      <c r="O56" s="134">
        <f>$J$12</f>
        <v>42.78</v>
      </c>
      <c r="P56" s="134">
        <f>$J$13</f>
        <v>85.56</v>
      </c>
    </row>
    <row r="57" spans="1:16" ht="12.75">
      <c r="A57" s="23" t="s">
        <v>124</v>
      </c>
      <c r="B57" s="134">
        <f>calculator_ntb!$C$13</f>
        <v>11</v>
      </c>
      <c r="C57" s="134">
        <f t="shared" si="6"/>
        <v>10</v>
      </c>
      <c r="D57" s="133">
        <f aca="true" t="shared" si="13" ref="D57:D63">C57-5</f>
        <v>5</v>
      </c>
      <c r="E57" s="134">
        <f t="shared" si="7"/>
        <v>5</v>
      </c>
      <c r="F57" s="134">
        <f t="shared" si="8"/>
        <v>0</v>
      </c>
      <c r="G57" s="134">
        <f t="shared" si="9"/>
        <v>1006.46</v>
      </c>
      <c r="H57" s="134">
        <f t="shared" si="10"/>
        <v>1006.46</v>
      </c>
      <c r="I57" s="133">
        <v>1</v>
      </c>
      <c r="J57" s="141">
        <f>calculator_ntb!$B$13+database_ntb!I57-1</f>
        <v>44576</v>
      </c>
      <c r="K57" s="137">
        <f>IF(E57=0,database_ntb!J57+database_ntb!C57,database_ntb!J57+database_ntb!E57)</f>
        <v>44581</v>
      </c>
      <c r="L57" s="134">
        <f t="shared" si="11"/>
        <v>287.56</v>
      </c>
      <c r="M57" s="134">
        <f>O57*4</f>
        <v>287.56</v>
      </c>
      <c r="N57" s="134">
        <f t="shared" si="12"/>
        <v>718.9000000000001</v>
      </c>
      <c r="O57" s="134">
        <f>$J$16</f>
        <v>71.89</v>
      </c>
      <c r="P57" s="134">
        <f>$J$17</f>
        <v>143.78</v>
      </c>
    </row>
    <row r="58" spans="1:16" ht="12.75">
      <c r="A58" s="23" t="s">
        <v>119</v>
      </c>
      <c r="B58" s="134">
        <f>calculator_ntb!$C$13</f>
        <v>11</v>
      </c>
      <c r="C58" s="134">
        <f t="shared" si="6"/>
        <v>6</v>
      </c>
      <c r="D58" s="133">
        <f t="shared" si="13"/>
        <v>1</v>
      </c>
      <c r="E58" s="134">
        <f t="shared" si="7"/>
        <v>5</v>
      </c>
      <c r="F58" s="134">
        <f t="shared" si="8"/>
        <v>0</v>
      </c>
      <c r="G58" s="134">
        <f t="shared" si="9"/>
        <v>598.9200000000001</v>
      </c>
      <c r="H58" s="134">
        <f t="shared" si="10"/>
        <v>598.9200000000001</v>
      </c>
      <c r="I58" s="133">
        <v>5</v>
      </c>
      <c r="J58" s="141">
        <f>calculator_ntb!$B$13+database_ntb!I58-1</f>
        <v>44580</v>
      </c>
      <c r="K58" s="137">
        <f>IF(E58=0,database_ntb!J58+database_ntb!C58,database_ntb!J58+database_ntb!E58)</f>
        <v>44585</v>
      </c>
      <c r="L58" s="134">
        <f t="shared" si="11"/>
        <v>427.8</v>
      </c>
      <c r="M58" s="134">
        <f aca="true" t="shared" si="14" ref="M58:M66">O58*5</f>
        <v>427.8</v>
      </c>
      <c r="N58" s="134">
        <f t="shared" si="12"/>
        <v>171.12000000000006</v>
      </c>
      <c r="O58" s="134">
        <f>$J$14</f>
        <v>85.56</v>
      </c>
      <c r="P58" s="134">
        <f>$J$15</f>
        <v>171.12</v>
      </c>
    </row>
    <row r="59" spans="1:16" ht="12.75">
      <c r="A59" s="23" t="s">
        <v>125</v>
      </c>
      <c r="B59" s="134">
        <f>calculator_ntb!$C$13</f>
        <v>11</v>
      </c>
      <c r="C59" s="134">
        <f t="shared" si="6"/>
        <v>10</v>
      </c>
      <c r="D59" s="133">
        <f t="shared" si="13"/>
        <v>5</v>
      </c>
      <c r="E59" s="134">
        <f t="shared" si="7"/>
        <v>5</v>
      </c>
      <c r="F59" s="134">
        <f t="shared" si="8"/>
        <v>0</v>
      </c>
      <c r="G59" s="134">
        <f t="shared" si="9"/>
        <v>2012.92</v>
      </c>
      <c r="H59" s="134">
        <f t="shared" si="10"/>
        <v>2012.92</v>
      </c>
      <c r="I59" s="133">
        <v>1</v>
      </c>
      <c r="J59" s="141">
        <f>calculator_ntb!$B$13+database_ntb!I59-1</f>
        <v>44576</v>
      </c>
      <c r="K59" s="137">
        <f>IF(E59=0,database_ntb!J59+database_ntb!C59,database_ntb!J59+database_ntb!E59)</f>
        <v>44581</v>
      </c>
      <c r="L59" s="134">
        <f t="shared" si="11"/>
        <v>575.12</v>
      </c>
      <c r="M59" s="134">
        <f>O59*4</f>
        <v>575.12</v>
      </c>
      <c r="N59" s="134">
        <f t="shared" si="12"/>
        <v>1437.8000000000002</v>
      </c>
      <c r="O59" s="134">
        <f>$J$18</f>
        <v>143.78</v>
      </c>
      <c r="P59" s="134">
        <f>$J$19</f>
        <v>287.56</v>
      </c>
    </row>
    <row r="60" spans="1:16" ht="12.75">
      <c r="A60" s="23" t="s">
        <v>120</v>
      </c>
      <c r="B60" s="134">
        <f>calculator_ntb!$C$13</f>
        <v>11</v>
      </c>
      <c r="C60" s="134">
        <f t="shared" si="6"/>
        <v>6</v>
      </c>
      <c r="D60" s="133">
        <f t="shared" si="13"/>
        <v>1</v>
      </c>
      <c r="E60" s="134">
        <f t="shared" si="7"/>
        <v>5</v>
      </c>
      <c r="F60" s="134">
        <f t="shared" si="8"/>
        <v>0</v>
      </c>
      <c r="G60" s="134">
        <f t="shared" si="9"/>
        <v>299.46000000000004</v>
      </c>
      <c r="H60" s="134">
        <f t="shared" si="10"/>
        <v>299.46000000000004</v>
      </c>
      <c r="I60" s="133">
        <v>5</v>
      </c>
      <c r="J60" s="141">
        <f>calculator_ntb!$B$13+database_ntb!I60-1</f>
        <v>44580</v>
      </c>
      <c r="K60" s="137">
        <f>IF(E60=0,database_ntb!J60+database_ntb!C60,database_ntb!J60+database_ntb!E60)</f>
        <v>44585</v>
      </c>
      <c r="L60" s="134">
        <f t="shared" si="11"/>
        <v>213.9</v>
      </c>
      <c r="M60" s="134">
        <f t="shared" si="14"/>
        <v>213.9</v>
      </c>
      <c r="N60" s="134">
        <f t="shared" si="12"/>
        <v>85.56000000000003</v>
      </c>
      <c r="O60" s="134">
        <f>$J$12</f>
        <v>42.78</v>
      </c>
      <c r="P60" s="134">
        <f>$J$13</f>
        <v>85.56</v>
      </c>
    </row>
    <row r="61" spans="1:16" ht="12.75">
      <c r="A61" s="23" t="s">
        <v>126</v>
      </c>
      <c r="B61" s="134">
        <f>calculator_ntb!$C$13</f>
        <v>11</v>
      </c>
      <c r="C61" s="134">
        <f t="shared" si="6"/>
        <v>10</v>
      </c>
      <c r="D61" s="133">
        <f t="shared" si="13"/>
        <v>5</v>
      </c>
      <c r="E61" s="134">
        <f t="shared" si="7"/>
        <v>5</v>
      </c>
      <c r="F61" s="134">
        <f t="shared" si="8"/>
        <v>0</v>
      </c>
      <c r="G61" s="134">
        <f t="shared" si="9"/>
        <v>1006.46</v>
      </c>
      <c r="H61" s="134">
        <f t="shared" si="10"/>
        <v>1006.46</v>
      </c>
      <c r="I61" s="133">
        <v>1</v>
      </c>
      <c r="J61" s="141">
        <f>calculator_ntb!$B$13+database_ntb!I61-1</f>
        <v>44576</v>
      </c>
      <c r="K61" s="137">
        <f>IF(E61=0,database_ntb!J61+database_ntb!C61,database_ntb!J61+database_ntb!E61)</f>
        <v>44581</v>
      </c>
      <c r="L61" s="134">
        <f t="shared" si="11"/>
        <v>287.56</v>
      </c>
      <c r="M61" s="134">
        <f>O61*4</f>
        <v>287.56</v>
      </c>
      <c r="N61" s="134">
        <f t="shared" si="12"/>
        <v>718.9000000000001</v>
      </c>
      <c r="O61" s="134">
        <f>$J$16</f>
        <v>71.89</v>
      </c>
      <c r="P61" s="134">
        <f>$J$17</f>
        <v>143.78</v>
      </c>
    </row>
    <row r="62" spans="1:16" ht="12.75">
      <c r="A62" s="23" t="s">
        <v>121</v>
      </c>
      <c r="B62" s="134">
        <f>calculator_ntb!$C$13</f>
        <v>11</v>
      </c>
      <c r="C62" s="134">
        <f t="shared" si="6"/>
        <v>6</v>
      </c>
      <c r="D62" s="133">
        <f t="shared" si="13"/>
        <v>1</v>
      </c>
      <c r="E62" s="134">
        <f t="shared" si="7"/>
        <v>5</v>
      </c>
      <c r="F62" s="134">
        <f t="shared" si="8"/>
        <v>0</v>
      </c>
      <c r="G62" s="134">
        <f t="shared" si="9"/>
        <v>598.9200000000001</v>
      </c>
      <c r="H62" s="134">
        <f t="shared" si="10"/>
        <v>598.9200000000001</v>
      </c>
      <c r="I62" s="133">
        <v>5</v>
      </c>
      <c r="J62" s="141">
        <f>calculator_ntb!$B$13+database_ntb!I62-1</f>
        <v>44580</v>
      </c>
      <c r="K62" s="137">
        <f>IF(E62=0,database_ntb!J62+database_ntb!C62,database_ntb!J62+database_ntb!E62)</f>
        <v>44585</v>
      </c>
      <c r="L62" s="134">
        <f t="shared" si="11"/>
        <v>427.8</v>
      </c>
      <c r="M62" s="134">
        <f t="shared" si="14"/>
        <v>427.8</v>
      </c>
      <c r="N62" s="134">
        <f t="shared" si="12"/>
        <v>171.12000000000006</v>
      </c>
      <c r="O62" s="134">
        <f>$J$14</f>
        <v>85.56</v>
      </c>
      <c r="P62" s="134">
        <f>$J$15</f>
        <v>171.12</v>
      </c>
    </row>
    <row r="63" spans="1:16" ht="12.75">
      <c r="A63" s="23" t="s">
        <v>127</v>
      </c>
      <c r="B63" s="134">
        <f>calculator_ntb!$C$13</f>
        <v>11</v>
      </c>
      <c r="C63" s="134">
        <f t="shared" si="6"/>
        <v>10</v>
      </c>
      <c r="D63" s="133">
        <f t="shared" si="13"/>
        <v>5</v>
      </c>
      <c r="E63" s="134">
        <f t="shared" si="7"/>
        <v>5</v>
      </c>
      <c r="F63" s="134">
        <f t="shared" si="8"/>
        <v>0</v>
      </c>
      <c r="G63" s="134">
        <f t="shared" si="9"/>
        <v>2012.92</v>
      </c>
      <c r="H63" s="134">
        <f t="shared" si="10"/>
        <v>2012.92</v>
      </c>
      <c r="I63" s="133">
        <v>1</v>
      </c>
      <c r="J63" s="141">
        <f>calculator_ntb!$B$13+database_ntb!I63-1</f>
        <v>44576</v>
      </c>
      <c r="K63" s="137">
        <f>IF(E63=0,database_ntb!J63+database_ntb!C63,database_ntb!J63+database_ntb!E63)</f>
        <v>44581</v>
      </c>
      <c r="L63" s="134">
        <f t="shared" si="11"/>
        <v>575.12</v>
      </c>
      <c r="M63" s="134">
        <f>O63*4</f>
        <v>575.12</v>
      </c>
      <c r="N63" s="134">
        <f t="shared" si="12"/>
        <v>1437.8000000000002</v>
      </c>
      <c r="O63" s="134">
        <f>$J$18</f>
        <v>143.78</v>
      </c>
      <c r="P63" s="134">
        <f>$J$19</f>
        <v>287.56</v>
      </c>
    </row>
    <row r="64" spans="1:16" ht="12.75">
      <c r="A64" s="23" t="s">
        <v>122</v>
      </c>
      <c r="B64" s="134">
        <f>calculator_ntb!$C$13</f>
        <v>11</v>
      </c>
      <c r="C64" s="134">
        <f t="shared" si="6"/>
        <v>10</v>
      </c>
      <c r="D64" s="133">
        <f>C64-5</f>
        <v>5</v>
      </c>
      <c r="E64" s="134">
        <f t="shared" si="7"/>
        <v>5</v>
      </c>
      <c r="F64" s="134">
        <f t="shared" si="8"/>
        <v>0</v>
      </c>
      <c r="G64" s="134">
        <f t="shared" si="9"/>
        <v>1283.4</v>
      </c>
      <c r="H64" s="134">
        <f t="shared" si="10"/>
        <v>1283.4</v>
      </c>
      <c r="I64" s="133">
        <v>1</v>
      </c>
      <c r="J64" s="141">
        <f>calculator_ntb!$B$13+database_ntb!I64-1</f>
        <v>44576</v>
      </c>
      <c r="K64" s="137">
        <f>IF(E64=0,database_ntb!J64+database_ntb!C64,database_ntb!J64+database_ntb!E64)</f>
        <v>44581</v>
      </c>
      <c r="L64" s="134">
        <f t="shared" si="11"/>
        <v>427.8</v>
      </c>
      <c r="M64" s="134">
        <f t="shared" si="14"/>
        <v>427.8</v>
      </c>
      <c r="N64" s="134">
        <f t="shared" si="12"/>
        <v>855.6000000000001</v>
      </c>
      <c r="O64" s="181">
        <f>$J$20</f>
        <v>85.56</v>
      </c>
      <c r="P64" s="134">
        <f>$J$21</f>
        <v>171.12</v>
      </c>
    </row>
    <row r="65" spans="1:16" ht="12.75">
      <c r="A65" s="23" t="s">
        <v>128</v>
      </c>
      <c r="B65" s="134">
        <f>calculator_ntb!$C$13</f>
        <v>11</v>
      </c>
      <c r="C65" s="134">
        <f t="shared" si="6"/>
        <v>10</v>
      </c>
      <c r="D65" s="133">
        <f>C65-5</f>
        <v>5</v>
      </c>
      <c r="E65" s="134">
        <f t="shared" si="7"/>
        <v>5</v>
      </c>
      <c r="F65" s="134">
        <f t="shared" si="8"/>
        <v>0</v>
      </c>
      <c r="G65" s="134">
        <f t="shared" si="9"/>
        <v>1197.8400000000001</v>
      </c>
      <c r="H65" s="134">
        <f t="shared" si="10"/>
        <v>1197.8400000000001</v>
      </c>
      <c r="I65" s="133">
        <v>1</v>
      </c>
      <c r="J65" s="141">
        <f>calculator_ntb!$B$13+database_ntb!I65-1</f>
        <v>44576</v>
      </c>
      <c r="K65" s="137">
        <f>IF(E65=0,database_ntb!J65+database_ntb!C65,database_ntb!J65+database_ntb!E65)</f>
        <v>44581</v>
      </c>
      <c r="L65" s="134">
        <f t="shared" si="11"/>
        <v>342.24</v>
      </c>
      <c r="M65" s="134">
        <f>O65*4</f>
        <v>342.24</v>
      </c>
      <c r="N65" s="134">
        <f t="shared" si="12"/>
        <v>855.6000000000001</v>
      </c>
      <c r="O65" s="181">
        <f>$J$20</f>
        <v>85.56</v>
      </c>
      <c r="P65" s="134">
        <f>$J$21</f>
        <v>171.12</v>
      </c>
    </row>
    <row r="66" spans="1:16" ht="12.75">
      <c r="A66" s="23" t="s">
        <v>123</v>
      </c>
      <c r="B66" s="134">
        <f>calculator_ntb!$C$13</f>
        <v>11</v>
      </c>
      <c r="C66" s="134">
        <f t="shared" si="6"/>
        <v>10</v>
      </c>
      <c r="D66" s="133">
        <f>C66-5</f>
        <v>5</v>
      </c>
      <c r="E66" s="134">
        <f t="shared" si="7"/>
        <v>5</v>
      </c>
      <c r="F66" s="134">
        <f t="shared" si="8"/>
        <v>0</v>
      </c>
      <c r="G66" s="134">
        <f t="shared" si="9"/>
        <v>2566.8</v>
      </c>
      <c r="H66" s="134">
        <f t="shared" si="10"/>
        <v>2566.8</v>
      </c>
      <c r="I66" s="133">
        <v>1</v>
      </c>
      <c r="J66" s="141">
        <f>calculator_ntb!$B$13+database_ntb!I66-1</f>
        <v>44576</v>
      </c>
      <c r="K66" s="137">
        <f>IF(E66=0,database_ntb!J66+database_ntb!C66,database_ntb!J66+database_ntb!E66)</f>
        <v>44581</v>
      </c>
      <c r="L66" s="134">
        <f t="shared" si="11"/>
        <v>855.6</v>
      </c>
      <c r="M66" s="134">
        <f t="shared" si="14"/>
        <v>855.6</v>
      </c>
      <c r="N66" s="134">
        <f t="shared" si="12"/>
        <v>1711.2000000000003</v>
      </c>
      <c r="O66" s="134">
        <f>$J$22</f>
        <v>171.12</v>
      </c>
      <c r="P66" s="134">
        <f>$J$23</f>
        <v>342.24</v>
      </c>
    </row>
    <row r="67" spans="1:16" ht="12.75">
      <c r="A67" s="23" t="s">
        <v>129</v>
      </c>
      <c r="B67" s="134">
        <f>calculator_ntb!$C$13</f>
        <v>11</v>
      </c>
      <c r="C67" s="134">
        <f t="shared" si="6"/>
        <v>10</v>
      </c>
      <c r="D67" s="133">
        <f>C67-5</f>
        <v>5</v>
      </c>
      <c r="E67" s="134">
        <f t="shared" si="7"/>
        <v>5</v>
      </c>
      <c r="F67" s="134">
        <f t="shared" si="8"/>
        <v>0</v>
      </c>
      <c r="G67" s="134">
        <f t="shared" si="9"/>
        <v>2395.6800000000003</v>
      </c>
      <c r="H67" s="134">
        <f t="shared" si="10"/>
        <v>2395.6800000000003</v>
      </c>
      <c r="I67" s="133">
        <v>1</v>
      </c>
      <c r="J67" s="141">
        <f>calculator_ntb!$B$13+database_ntb!I67-1</f>
        <v>44576</v>
      </c>
      <c r="K67" s="137">
        <f>IF(E67=0,database_ntb!J67+database_ntb!C67,database_ntb!J67+database_ntb!E67)</f>
        <v>44581</v>
      </c>
      <c r="L67" s="134">
        <f t="shared" si="11"/>
        <v>684.48</v>
      </c>
      <c r="M67" s="134">
        <f>O67*4</f>
        <v>684.48</v>
      </c>
      <c r="N67" s="134">
        <f t="shared" si="12"/>
        <v>1711.2000000000003</v>
      </c>
      <c r="O67" s="134">
        <f>$J$22</f>
        <v>171.12</v>
      </c>
      <c r="P67" s="134">
        <f>$J$23</f>
        <v>342.24</v>
      </c>
    </row>
    <row r="70" ht="12.75">
      <c r="A70" s="76" t="s">
        <v>107</v>
      </c>
    </row>
    <row r="71" spans="1:12" ht="12.75">
      <c r="A71" t="s">
        <v>108</v>
      </c>
      <c r="B71" s="20">
        <f>calculator_ntb!$C$14</f>
        <v>25</v>
      </c>
      <c r="C71" s="20">
        <f>B71-I71</f>
        <v>23</v>
      </c>
      <c r="I71">
        <v>2</v>
      </c>
      <c r="J71" s="36">
        <f>calculator_ntb!$B$12+database_ntb!I71</f>
        <v>44564</v>
      </c>
      <c r="K71" s="36">
        <f>IF(E71=0,database_ntb!J71+database_ntb!C71,database_ntb!J71+database_ntb!E71)</f>
        <v>44587</v>
      </c>
      <c r="L71" s="20">
        <f>IF(F71=0,M71,F71)</f>
        <v>0</v>
      </c>
    </row>
  </sheetData>
  <sheetProtection selectLockedCells="1"/>
  <mergeCells count="5">
    <mergeCell ref="A2:G2"/>
    <mergeCell ref="A21:G21"/>
    <mergeCell ref="H16:H19"/>
    <mergeCell ref="H20:H23"/>
    <mergeCell ref="H12:H15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70"/>
  <sheetViews>
    <sheetView showGridLines="0" showRowColHeaders="0" zoomScalePageLayoutView="0" workbookViewId="0" topLeftCell="A1">
      <selection activeCell="A7" sqref="A7:D7"/>
    </sheetView>
  </sheetViews>
  <sheetFormatPr defaultColWidth="9.140625" defaultRowHeight="12.75"/>
  <cols>
    <col min="1" max="1" width="34.8515625" style="130" customWidth="1"/>
    <col min="2" max="2" width="104.7109375" style="130" bestFit="1" customWidth="1"/>
    <col min="3" max="3" width="10.140625" style="130" bestFit="1" customWidth="1"/>
    <col min="4" max="16384" width="9.140625" style="130" customWidth="1"/>
  </cols>
  <sheetData>
    <row r="1" ht="12.75">
      <c r="A1" s="74">
        <v>2013</v>
      </c>
    </row>
    <row r="2" ht="12.75"/>
    <row r="3" ht="12.75"/>
    <row r="4" spans="1:4" ht="12.75">
      <c r="A4" s="91"/>
      <c r="B4" s="92"/>
      <c r="C4" s="92"/>
      <c r="D4" s="106" t="s">
        <v>136</v>
      </c>
    </row>
    <row r="5" spans="1:3" ht="12.75">
      <c r="A5" s="93"/>
      <c r="B5" s="92"/>
      <c r="C5" s="92"/>
    </row>
    <row r="6" spans="1:4" ht="18.75" thickBot="1">
      <c r="A6" s="186" t="s">
        <v>134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>
      <c r="A8" s="62"/>
      <c r="B8" s="29"/>
      <c r="C8" s="63"/>
      <c r="D8" s="63"/>
    </row>
    <row r="9" spans="1:4" ht="18">
      <c r="A9" s="59" t="s">
        <v>102</v>
      </c>
      <c r="B9" s="29"/>
      <c r="C9" s="29"/>
      <c r="D9" s="29"/>
    </row>
    <row r="10" spans="1:4" ht="18">
      <c r="A10" s="13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75">
        <f>B14-B12+1</f>
        <v>25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52</v>
      </c>
      <c r="C18" s="66"/>
      <c r="D18" s="64"/>
    </row>
    <row r="19" spans="1:4" ht="13.5" thickBot="1">
      <c r="A19" s="77"/>
      <c r="B19" s="135" t="str">
        <f>CONCATENATE(B18,B17)</f>
        <v>Germany, Belgium, Netherlands, France, Ireland, Scandinavia40' standard</v>
      </c>
      <c r="C19" s="64"/>
      <c r="D19" s="64"/>
    </row>
    <row r="20" spans="1:5" ht="14.25" thickBot="1" thickTop="1">
      <c r="A20" s="81">
        <f>IF(B36&lt;&gt;"FREE",_xlfn.IFERROR(VLOOKUP(B19,database_eurham!A40:I52,9,FALSE),"not found in tariff database"),"FREE")</f>
        <v>10</v>
      </c>
      <c r="B20" s="82">
        <f>_xlfn.IFERROR(VLOOKUP(B19,database_eurham!A40:H52,8,FALSE),"not found in tariff database")</f>
        <v>995</v>
      </c>
      <c r="C20" s="83"/>
      <c r="D20" s="83"/>
      <c r="E20" s="83"/>
    </row>
    <row r="21" spans="1:4" ht="27.75" customHeight="1" thickBot="1">
      <c r="A21" s="78" t="s">
        <v>94</v>
      </c>
      <c r="B21" s="104" t="s">
        <v>171</v>
      </c>
      <c r="C21" s="64"/>
      <c r="D21" s="64"/>
    </row>
    <row r="22" spans="1:4" ht="12.75">
      <c r="A22" s="52" t="s">
        <v>89</v>
      </c>
      <c r="B22" s="50" t="str">
        <f>IF(B36&lt;&gt;"FREE",_xlfn.IFERROR(VLOOKUP(B19,database_eurham!A40:I52,9,FALSE),"not found in tariff database"),"FREE")&amp;" days"</f>
        <v>10 days</v>
      </c>
      <c r="C22" s="64"/>
      <c r="D22" s="64"/>
    </row>
    <row r="23" spans="1:4" ht="12.75">
      <c r="A23" s="53" t="s">
        <v>91</v>
      </c>
      <c r="B23" s="49" t="str">
        <f>C14-A20&amp;" days"</f>
        <v>15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44572</v>
      </c>
      <c r="C25" s="67">
        <f>_xlfn.IFERROR(VLOOKUP(B19,database_eurham!A40:J52,10,FALSE),"not found in tariff database")</f>
        <v>44571</v>
      </c>
      <c r="D25" s="64"/>
    </row>
    <row r="26" spans="1:4" ht="12.75">
      <c r="A26" s="44" t="s">
        <v>87</v>
      </c>
      <c r="B26" s="45">
        <f>IF(C26&gt;B14,"x",C26)</f>
        <v>44578</v>
      </c>
      <c r="C26" s="68">
        <f>IF(B36="FREE","FREE",_xlfn.IFERROR(VLOOKUP(B19,database_eurham!A40:K52,11,FALSE),"not found in tariff database"))</f>
        <v>44578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IF(B36="FREE",0,_xlfn.IFERROR(VLOOKUP(B19,database_eurham!A40:O52,15,FALSE),"not found in tariff database"))</f>
        <v>45</v>
      </c>
      <c r="C28" s="68"/>
      <c r="D28" s="64"/>
    </row>
    <row r="29" spans="1:4" ht="12.75">
      <c r="A29" s="51" t="s">
        <v>85</v>
      </c>
      <c r="B29" s="41">
        <f>IF(B36="FREE",0,_xlfn.IFERROR(VLOOKUP(B19,database_eurham!A40:L52,12,FALSE),"not found in tariff database"))</f>
        <v>315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44579</v>
      </c>
      <c r="C31" s="64"/>
      <c r="D31" s="64"/>
    </row>
    <row r="32" spans="1:4" ht="12.75">
      <c r="A32" s="44" t="s">
        <v>87</v>
      </c>
      <c r="B32" s="45">
        <f>IF(B14&lt;=B26,"x",B14)</f>
        <v>44586</v>
      </c>
      <c r="C32" s="64"/>
      <c r="D32" s="64"/>
    </row>
    <row r="33" spans="1:4" ht="12.75">
      <c r="A33" s="55" t="s">
        <v>90</v>
      </c>
      <c r="B33" s="48">
        <f>_xlfn.IFERROR((B32+1)-B31,"x")</f>
        <v>8</v>
      </c>
      <c r="C33" s="64"/>
      <c r="D33" s="64"/>
    </row>
    <row r="34" spans="1:4" ht="12.75">
      <c r="A34" s="46" t="s">
        <v>81</v>
      </c>
      <c r="B34" s="47">
        <f>IF(B36="FREE",0,_xlfn.IFERROR(VLOOKUP(B19,database_eurham!A40:P52,16,FALSE),"not found in tariff database"))</f>
        <v>85</v>
      </c>
      <c r="C34" s="64"/>
      <c r="D34" s="64"/>
    </row>
    <row r="35" spans="1:4" ht="13.5" thickBot="1">
      <c r="A35" s="51" t="s">
        <v>86</v>
      </c>
      <c r="B35" s="43">
        <f>_xlfn.IFERROR(VLOOKUP(B19,database_eurham!A40:N52,14,FALSE),"not found in tariff database")</f>
        <v>680</v>
      </c>
      <c r="C35" s="64"/>
      <c r="D35" s="64"/>
    </row>
    <row r="36" spans="1:4" ht="16.5" thickBot="1">
      <c r="A36" s="57" t="s">
        <v>99</v>
      </c>
      <c r="B36" s="58">
        <f>IF(B20&gt;0,B20,"FREE")</f>
        <v>995</v>
      </c>
      <c r="C36" s="69"/>
      <c r="D36" s="64"/>
    </row>
    <row r="37" ht="12.75">
      <c r="B37" s="135" t="str">
        <f>CONCATENATE(C15,B15)</f>
        <v>40' standardNein</v>
      </c>
    </row>
    <row r="38" spans="1:2" ht="13.5" thickBot="1">
      <c r="A38" s="135">
        <f>IF(B54&lt;&gt;"FREE",_xlfn.IFERROR(VLOOKUP(B37,database_eurham!A56:I67,9,FALSE),"not found in tariff database"),"FREE")</f>
        <v>6</v>
      </c>
      <c r="B38" s="135">
        <f>_xlfn.IFERROR(VLOOKUP(B37,database_eurham!A56:H67,8,FALSE),"not found in tariff database")</f>
        <v>375</v>
      </c>
    </row>
    <row r="39" spans="1:2" ht="13.5" thickBot="1">
      <c r="A39" s="78" t="s">
        <v>95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IF(B54&lt;&gt;"FREE",_xlfn.IFERROR(VLOOKUP(B37,database_eurham!A56:I67,9,FALSE),"not found in tariff database"),"FREE")&amp;" days"</f>
        <v>6 days</v>
      </c>
    </row>
    <row r="41" spans="1:2" ht="12.75">
      <c r="A41" s="53" t="s">
        <v>101</v>
      </c>
      <c r="B41" s="49" t="str">
        <f>C13-A38&amp;" days"</f>
        <v>5 days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>
        <f>IF(B54&lt;&gt;"FREE",C43+1,"FREE")</f>
        <v>44582</v>
      </c>
      <c r="C43" s="68">
        <f>_xlfn.IFERROR(VLOOKUP(B37,database_eurham!A56:J67,10,FALSE),"not found in tariff database")</f>
        <v>44581</v>
      </c>
    </row>
    <row r="44" spans="1:3" ht="12.75">
      <c r="A44" s="44" t="s">
        <v>87</v>
      </c>
      <c r="B44" s="45">
        <f>IF(C44&gt;B14,"x",C44)</f>
        <v>44586</v>
      </c>
      <c r="C44" s="68">
        <f>IF(B54="FREE","FREE",_xlfn.IFERROR(VLOOKUP(B37,database_eurham!A56:K67,11,FALSE),"not found in tariff database"))</f>
        <v>44586</v>
      </c>
    </row>
    <row r="45" spans="1:2" ht="12.75">
      <c r="A45" s="55" t="s">
        <v>90</v>
      </c>
      <c r="B45" s="48">
        <f>(B44+1)-B43</f>
        <v>5</v>
      </c>
    </row>
    <row r="46" spans="1:2" ht="12.75">
      <c r="A46" s="46" t="s">
        <v>82</v>
      </c>
      <c r="B46" s="47">
        <f>IF(B54="FREE",0,_xlfn.IFERROR(VLOOKUP(B37,database_eurham!A56:O67,15,FALSE),"not found in tariff database"))</f>
        <v>75</v>
      </c>
    </row>
    <row r="47" spans="1:2" ht="12.75">
      <c r="A47" s="51" t="s">
        <v>85</v>
      </c>
      <c r="B47" s="41">
        <f>IF(B54="FREE",0,_xlfn.IFERROR(VLOOKUP(B37,database_eurham!A56:L67,12,FALSE),"not found in tariff database"))</f>
        <v>375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 t="str">
        <f>IF(OR(B50="x",B50&lt;=B44),"x",B44+1)</f>
        <v>x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 t="str">
        <f>_xlfn.IFERROR((B50+1)-B49,"x")</f>
        <v>x</v>
      </c>
    </row>
    <row r="52" spans="1:2" ht="12.75">
      <c r="A52" s="46" t="s">
        <v>81</v>
      </c>
      <c r="B52" s="47">
        <f>IF(B54="FREE",0,_xlfn.IFERROR(VLOOKUP(B37,database_eurham!A56:P67,16,FALSE),"not found in tariff database"))</f>
        <v>150</v>
      </c>
    </row>
    <row r="53" spans="1:2" ht="13.5" thickBot="1">
      <c r="A53" s="51" t="s">
        <v>86</v>
      </c>
      <c r="B53" s="43">
        <f>_xlfn.IFERROR(VLOOKUP(B37,database_eurham!A56:N67,14,FALSE),"not found in tariff database")</f>
        <v>0</v>
      </c>
    </row>
    <row r="54" spans="1:2" ht="16.5" thickBot="1">
      <c r="A54" s="57" t="s">
        <v>100</v>
      </c>
      <c r="B54" s="58">
        <f>IF(B38&gt;0,B38,"FREE")</f>
        <v>375</v>
      </c>
    </row>
    <row r="55" ht="12.75"/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135">
        <f>(B62-B61)+1</f>
        <v>9</v>
      </c>
    </row>
    <row r="60" spans="1:2" ht="12.75">
      <c r="A60" s="54" t="s">
        <v>110</v>
      </c>
      <c r="B60" s="156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IF(C17="reefer",C59*database_eurham!M11,"NOT APPLICABLE")</f>
        <v>NOT APPLICABLE</v>
      </c>
    </row>
    <row r="64" ht="12.75"/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2">
    <mergeCell ref="A6:D6"/>
    <mergeCell ref="A7:D7"/>
  </mergeCells>
  <dataValidations count="4">
    <dataValidation allowBlank="1" showInputMessage="1" showErrorMessage="1" promptTitle="INPUT FORMAT" prompt="The following formats are accepted:&#10;dd.mm.yy&#10;dd.mm.yyyy&#10;dd/mm/yy&#10;dd/mm/yyyy" sqref="B12:B14"/>
    <dataValidation type="list" allowBlank="1" showInputMessage="1" showErrorMessage="1" sqref="B15">
      <formula1>$D$65:$D$66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8">
      <formula1>$A$65:$A$66</formula1>
    </dataValidation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P71"/>
  <sheetViews>
    <sheetView zoomScale="80" zoomScaleNormal="80" zoomScalePageLayoutView="0" workbookViewId="0" topLeftCell="A1">
      <selection activeCell="J25" sqref="J25"/>
    </sheetView>
  </sheetViews>
  <sheetFormatPr defaultColWidth="22.28125" defaultRowHeight="12.75"/>
  <cols>
    <col min="1" max="2" width="22.28125" style="130" customWidth="1"/>
    <col min="3" max="3" width="15.140625" style="130" bestFit="1" customWidth="1"/>
    <col min="4" max="4" width="16.140625" style="130" bestFit="1" customWidth="1"/>
    <col min="5" max="5" width="15.28125" style="130" bestFit="1" customWidth="1"/>
    <col min="6" max="6" width="12.28125" style="130" bestFit="1" customWidth="1"/>
    <col min="7" max="7" width="18.140625" style="130" bestFit="1" customWidth="1"/>
    <col min="8" max="8" width="22.28125" style="130" customWidth="1"/>
    <col min="9" max="9" width="11.28125" style="130" customWidth="1"/>
    <col min="10" max="10" width="21.00390625" style="130" bestFit="1" customWidth="1"/>
    <col min="11" max="12" width="22.28125" style="130" customWidth="1"/>
    <col min="13" max="13" width="17.8515625" style="130" bestFit="1" customWidth="1"/>
    <col min="14" max="15" width="22.28125" style="130" customWidth="1"/>
    <col min="16" max="16384" width="22.28125" style="13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s="130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s="130" t="s">
        <v>97</v>
      </c>
    </row>
    <row r="3" spans="1:10" ht="12.75">
      <c r="A3" s="7" t="s">
        <v>45</v>
      </c>
      <c r="B3" s="8" t="s">
        <v>30</v>
      </c>
      <c r="C3" s="9" t="s">
        <v>1</v>
      </c>
      <c r="D3" s="10" t="s">
        <v>2</v>
      </c>
      <c r="E3" s="30" t="s">
        <v>3</v>
      </c>
      <c r="F3" s="31">
        <v>44197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182</v>
      </c>
      <c r="C4" s="2" t="s">
        <v>1</v>
      </c>
      <c r="D4" s="3" t="s">
        <v>2</v>
      </c>
      <c r="E4" s="32">
        <v>35</v>
      </c>
      <c r="F4" s="33">
        <v>44197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183</v>
      </c>
      <c r="C5" s="14" t="s">
        <v>1</v>
      </c>
      <c r="D5" s="15" t="s">
        <v>2</v>
      </c>
      <c r="E5" s="34">
        <v>55</v>
      </c>
      <c r="F5" s="35">
        <v>44197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33</v>
      </c>
      <c r="C6" s="9" t="s">
        <v>1</v>
      </c>
      <c r="D6" s="10" t="s">
        <v>2</v>
      </c>
      <c r="E6" s="30" t="s">
        <v>3</v>
      </c>
      <c r="F6" s="31">
        <v>44197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184</v>
      </c>
      <c r="C7" s="2" t="s">
        <v>1</v>
      </c>
      <c r="D7" s="3" t="s">
        <v>2</v>
      </c>
      <c r="E7" s="32">
        <v>45</v>
      </c>
      <c r="F7" s="33">
        <v>44197</v>
      </c>
      <c r="G7" s="17" t="s">
        <v>27</v>
      </c>
    </row>
    <row r="8" spans="1:7" ht="13.5" thickBot="1">
      <c r="A8" s="12" t="s">
        <v>46</v>
      </c>
      <c r="B8" s="13" t="s">
        <v>185</v>
      </c>
      <c r="C8" s="14" t="s">
        <v>1</v>
      </c>
      <c r="D8" s="15" t="s">
        <v>2</v>
      </c>
      <c r="E8" s="34">
        <v>85</v>
      </c>
      <c r="F8" s="35">
        <v>44197</v>
      </c>
      <c r="G8" s="18" t="s">
        <v>27</v>
      </c>
    </row>
    <row r="9" spans="1:7" ht="13.5" thickBot="1">
      <c r="A9" s="7" t="s">
        <v>47</v>
      </c>
      <c r="B9" s="8" t="s">
        <v>186</v>
      </c>
      <c r="C9" s="9" t="s">
        <v>1</v>
      </c>
      <c r="D9" s="10" t="s">
        <v>2</v>
      </c>
      <c r="E9" s="30" t="s">
        <v>3</v>
      </c>
      <c r="F9" s="31">
        <v>44197</v>
      </c>
      <c r="G9" s="16" t="s">
        <v>27</v>
      </c>
    </row>
    <row r="10" spans="1:13" ht="12.75">
      <c r="A10" s="11" t="s">
        <v>47</v>
      </c>
      <c r="B10" s="1" t="s">
        <v>187</v>
      </c>
      <c r="C10" s="2" t="s">
        <v>1</v>
      </c>
      <c r="D10" s="3" t="s">
        <v>2</v>
      </c>
      <c r="E10" s="32">
        <v>75</v>
      </c>
      <c r="F10" s="33">
        <v>44197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188</v>
      </c>
      <c r="C11" s="14" t="s">
        <v>1</v>
      </c>
      <c r="D11" s="15" t="s">
        <v>2</v>
      </c>
      <c r="E11" s="34">
        <v>111</v>
      </c>
      <c r="F11" s="35">
        <v>44197</v>
      </c>
      <c r="G11" s="18" t="s">
        <v>27</v>
      </c>
      <c r="I11" s="131" t="s">
        <v>54</v>
      </c>
      <c r="J11" s="132"/>
      <c r="L11" s="131" t="s">
        <v>112</v>
      </c>
      <c r="M11" s="132">
        <v>110</v>
      </c>
    </row>
    <row r="12" spans="1:11" ht="13.5" thickBot="1">
      <c r="A12" s="7" t="s">
        <v>48</v>
      </c>
      <c r="B12" s="8" t="s">
        <v>189</v>
      </c>
      <c r="C12" s="9" t="s">
        <v>1</v>
      </c>
      <c r="D12" s="10" t="s">
        <v>2</v>
      </c>
      <c r="E12" s="30" t="s">
        <v>3</v>
      </c>
      <c r="F12" s="31">
        <v>44197</v>
      </c>
      <c r="G12" s="16" t="s">
        <v>27</v>
      </c>
      <c r="H12" s="195" t="s">
        <v>145</v>
      </c>
      <c r="I12" s="107" t="s">
        <v>154</v>
      </c>
      <c r="J12" s="148">
        <v>37.5</v>
      </c>
      <c r="K12" s="147" t="s">
        <v>105</v>
      </c>
    </row>
    <row r="13" spans="1:11" ht="13.5" thickBot="1">
      <c r="A13" s="11" t="s">
        <v>48</v>
      </c>
      <c r="B13" s="1" t="s">
        <v>190</v>
      </c>
      <c r="C13" s="2" t="s">
        <v>1</v>
      </c>
      <c r="D13" s="3" t="s">
        <v>2</v>
      </c>
      <c r="E13" s="32">
        <v>111</v>
      </c>
      <c r="F13" s="33">
        <v>44197</v>
      </c>
      <c r="G13" s="17" t="s">
        <v>27</v>
      </c>
      <c r="H13" s="195"/>
      <c r="I13" s="150" t="s">
        <v>144</v>
      </c>
      <c r="J13" s="149">
        <v>75</v>
      </c>
      <c r="K13" s="151" t="s">
        <v>105</v>
      </c>
    </row>
    <row r="14" spans="1:11" ht="13.5" thickBot="1">
      <c r="A14" s="12" t="s">
        <v>48</v>
      </c>
      <c r="B14" s="13" t="s">
        <v>191</v>
      </c>
      <c r="C14" s="14" t="s">
        <v>1</v>
      </c>
      <c r="D14" s="15" t="s">
        <v>2</v>
      </c>
      <c r="E14" s="34">
        <v>151</v>
      </c>
      <c r="F14" s="35">
        <v>44197</v>
      </c>
      <c r="G14" s="18" t="s">
        <v>27</v>
      </c>
      <c r="H14" s="195"/>
      <c r="I14" s="107" t="s">
        <v>154</v>
      </c>
      <c r="J14" s="146">
        <f>J12*2</f>
        <v>75</v>
      </c>
      <c r="K14" s="152" t="s">
        <v>106</v>
      </c>
    </row>
    <row r="15" spans="1:11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44197</v>
      </c>
      <c r="G15" s="16" t="s">
        <v>27</v>
      </c>
      <c r="H15" s="195"/>
      <c r="I15" s="150" t="s">
        <v>144</v>
      </c>
      <c r="J15" s="149">
        <f>J13*2</f>
        <v>150</v>
      </c>
      <c r="K15" s="151" t="s">
        <v>106</v>
      </c>
    </row>
    <row r="16" spans="1:11" ht="13.5" thickBot="1">
      <c r="A16" s="11" t="s">
        <v>49</v>
      </c>
      <c r="B16" s="1" t="s">
        <v>192</v>
      </c>
      <c r="C16" s="2" t="s">
        <v>1</v>
      </c>
      <c r="D16" s="3" t="s">
        <v>2</v>
      </c>
      <c r="E16" s="32">
        <v>75</v>
      </c>
      <c r="F16" s="33">
        <v>44197</v>
      </c>
      <c r="G16" s="17" t="s">
        <v>27</v>
      </c>
      <c r="H16" s="195" t="s">
        <v>130</v>
      </c>
      <c r="I16" s="107" t="s">
        <v>155</v>
      </c>
      <c r="J16" s="148">
        <v>75</v>
      </c>
      <c r="K16" s="147" t="s">
        <v>105</v>
      </c>
    </row>
    <row r="17" spans="1:11" ht="13.5" thickBot="1">
      <c r="A17" s="12" t="s">
        <v>49</v>
      </c>
      <c r="B17" s="13" t="s">
        <v>193</v>
      </c>
      <c r="C17" s="14" t="s">
        <v>1</v>
      </c>
      <c r="D17" s="15" t="s">
        <v>2</v>
      </c>
      <c r="E17" s="34">
        <v>95</v>
      </c>
      <c r="F17" s="35">
        <v>44197</v>
      </c>
      <c r="G17" s="18" t="s">
        <v>27</v>
      </c>
      <c r="H17" s="195"/>
      <c r="I17" s="150" t="s">
        <v>137</v>
      </c>
      <c r="J17" s="149">
        <v>150</v>
      </c>
      <c r="K17" s="151" t="s">
        <v>105</v>
      </c>
    </row>
    <row r="18" spans="1:11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44197</v>
      </c>
      <c r="G18" s="16" t="s">
        <v>27</v>
      </c>
      <c r="H18" s="195"/>
      <c r="I18" s="107" t="s">
        <v>155</v>
      </c>
      <c r="J18" s="146">
        <f>J16*2</f>
        <v>150</v>
      </c>
      <c r="K18" s="147" t="s">
        <v>106</v>
      </c>
    </row>
    <row r="19" spans="1:11" ht="13.5" thickBot="1">
      <c r="A19" s="11" t="s">
        <v>50</v>
      </c>
      <c r="B19" s="1" t="s">
        <v>194</v>
      </c>
      <c r="C19" s="2" t="s">
        <v>1</v>
      </c>
      <c r="D19" s="3" t="s">
        <v>2</v>
      </c>
      <c r="E19" s="32">
        <v>95</v>
      </c>
      <c r="F19" s="33">
        <v>44197</v>
      </c>
      <c r="G19" s="17" t="s">
        <v>27</v>
      </c>
      <c r="H19" s="195"/>
      <c r="I19" s="150" t="s">
        <v>137</v>
      </c>
      <c r="J19" s="149">
        <f>J17*2</f>
        <v>300</v>
      </c>
      <c r="K19" s="151" t="s">
        <v>106</v>
      </c>
    </row>
    <row r="20" spans="1:11" ht="13.5" thickBot="1">
      <c r="A20" s="12" t="s">
        <v>50</v>
      </c>
      <c r="B20" s="13" t="s">
        <v>195</v>
      </c>
      <c r="C20" s="14" t="s">
        <v>1</v>
      </c>
      <c r="D20" s="15" t="s">
        <v>2</v>
      </c>
      <c r="E20" s="34">
        <v>140</v>
      </c>
      <c r="F20" s="35">
        <v>44197</v>
      </c>
      <c r="G20" s="18" t="s">
        <v>27</v>
      </c>
      <c r="H20" s="195" t="s">
        <v>138</v>
      </c>
      <c r="I20" s="107" t="s">
        <v>156</v>
      </c>
      <c r="J20" s="148">
        <v>75</v>
      </c>
      <c r="K20" s="152" t="s">
        <v>105</v>
      </c>
    </row>
    <row r="21" spans="1:11" ht="24.75" customHeight="1" thickBot="1">
      <c r="A21" s="192" t="s">
        <v>29</v>
      </c>
      <c r="B21" s="193"/>
      <c r="C21" s="193"/>
      <c r="D21" s="193"/>
      <c r="E21" s="193"/>
      <c r="F21" s="193"/>
      <c r="G21" s="194"/>
      <c r="H21" s="195"/>
      <c r="I21" s="150" t="s">
        <v>157</v>
      </c>
      <c r="J21" s="149">
        <v>150</v>
      </c>
      <c r="K21" s="151" t="s">
        <v>105</v>
      </c>
    </row>
    <row r="22" spans="1:11" ht="13.5" thickBot="1">
      <c r="A22" s="109" t="s">
        <v>45</v>
      </c>
      <c r="B22" s="110" t="s">
        <v>30</v>
      </c>
      <c r="C22" s="111" t="s">
        <v>1</v>
      </c>
      <c r="D22" s="112" t="s">
        <v>2</v>
      </c>
      <c r="E22" s="113" t="s">
        <v>3</v>
      </c>
      <c r="F22" s="114">
        <v>41275</v>
      </c>
      <c r="G22" s="115" t="s">
        <v>27</v>
      </c>
      <c r="H22" s="195"/>
      <c r="I22" s="107" t="s">
        <v>156</v>
      </c>
      <c r="J22" s="146">
        <f>J20*2</f>
        <v>150</v>
      </c>
      <c r="K22" s="147" t="s">
        <v>106</v>
      </c>
    </row>
    <row r="23" spans="1:11" ht="13.5" thickBot="1">
      <c r="A23" s="116" t="s">
        <v>45</v>
      </c>
      <c r="B23" s="117" t="s">
        <v>31</v>
      </c>
      <c r="C23" s="118" t="s">
        <v>1</v>
      </c>
      <c r="D23" s="119" t="s">
        <v>2</v>
      </c>
      <c r="E23" s="120">
        <v>10</v>
      </c>
      <c r="F23" s="121">
        <v>41275</v>
      </c>
      <c r="G23" s="122" t="s">
        <v>27</v>
      </c>
      <c r="H23" s="195"/>
      <c r="I23" s="150" t="s">
        <v>157</v>
      </c>
      <c r="J23" s="149">
        <f>J21*2</f>
        <v>300</v>
      </c>
      <c r="K23" s="151" t="s">
        <v>106</v>
      </c>
    </row>
    <row r="24" spans="1:11" ht="13.5" thickBot="1">
      <c r="A24" s="123" t="s">
        <v>45</v>
      </c>
      <c r="B24" s="124" t="s">
        <v>32</v>
      </c>
      <c r="C24" s="125" t="s">
        <v>1</v>
      </c>
      <c r="D24" s="126" t="s">
        <v>2</v>
      </c>
      <c r="E24" s="127">
        <v>20</v>
      </c>
      <c r="F24" s="128">
        <v>41275</v>
      </c>
      <c r="G24" s="129" t="s">
        <v>27</v>
      </c>
      <c r="H24" s="195" t="s">
        <v>108</v>
      </c>
      <c r="I24" s="107" t="s">
        <v>156</v>
      </c>
      <c r="J24" s="148">
        <v>56.25</v>
      </c>
      <c r="K24" s="152" t="s">
        <v>105</v>
      </c>
    </row>
    <row r="25" spans="1:11" ht="13.5" thickBot="1">
      <c r="A25" s="109" t="s">
        <v>46</v>
      </c>
      <c r="B25" s="110" t="s">
        <v>33</v>
      </c>
      <c r="C25" s="111" t="s">
        <v>1</v>
      </c>
      <c r="D25" s="112" t="s">
        <v>2</v>
      </c>
      <c r="E25" s="113" t="s">
        <v>3</v>
      </c>
      <c r="F25" s="114">
        <v>41275</v>
      </c>
      <c r="G25" s="115" t="s">
        <v>27</v>
      </c>
      <c r="H25" s="195"/>
      <c r="I25" s="150" t="s">
        <v>157</v>
      </c>
      <c r="J25" s="149">
        <v>112.5</v>
      </c>
      <c r="K25" s="151" t="s">
        <v>105</v>
      </c>
    </row>
    <row r="26" spans="1:11" ht="13.5" thickBot="1">
      <c r="A26" s="116" t="s">
        <v>46</v>
      </c>
      <c r="B26" s="117" t="s">
        <v>34</v>
      </c>
      <c r="C26" s="118" t="s">
        <v>1</v>
      </c>
      <c r="D26" s="119" t="s">
        <v>2</v>
      </c>
      <c r="E26" s="120">
        <v>20</v>
      </c>
      <c r="F26" s="121">
        <v>41275</v>
      </c>
      <c r="G26" s="122" t="s">
        <v>27</v>
      </c>
      <c r="H26" s="195"/>
      <c r="I26" s="107" t="s">
        <v>156</v>
      </c>
      <c r="J26" s="146">
        <f>J24*2</f>
        <v>112.5</v>
      </c>
      <c r="K26" s="147" t="s">
        <v>106</v>
      </c>
    </row>
    <row r="27" spans="1:11" ht="13.5" thickBot="1">
      <c r="A27" s="123" t="s">
        <v>46</v>
      </c>
      <c r="B27" s="124" t="s">
        <v>35</v>
      </c>
      <c r="C27" s="125" t="s">
        <v>1</v>
      </c>
      <c r="D27" s="126" t="s">
        <v>2</v>
      </c>
      <c r="E27" s="127">
        <v>30</v>
      </c>
      <c r="F27" s="128">
        <v>41275</v>
      </c>
      <c r="G27" s="129" t="s">
        <v>27</v>
      </c>
      <c r="H27" s="195"/>
      <c r="I27" s="150" t="s">
        <v>157</v>
      </c>
      <c r="J27" s="149">
        <f>J25*2</f>
        <v>225</v>
      </c>
      <c r="K27" s="151" t="s">
        <v>106</v>
      </c>
    </row>
    <row r="28" spans="1:7" ht="12.75">
      <c r="A28" s="109" t="s">
        <v>47</v>
      </c>
      <c r="B28" s="110" t="s">
        <v>36</v>
      </c>
      <c r="C28" s="111" t="s">
        <v>1</v>
      </c>
      <c r="D28" s="112" t="s">
        <v>2</v>
      </c>
      <c r="E28" s="113" t="s">
        <v>3</v>
      </c>
      <c r="F28" s="114">
        <v>41275</v>
      </c>
      <c r="G28" s="115" t="s">
        <v>27</v>
      </c>
    </row>
    <row r="29" spans="1:7" ht="12.75">
      <c r="A29" s="116" t="s">
        <v>47</v>
      </c>
      <c r="B29" s="117" t="s">
        <v>37</v>
      </c>
      <c r="C29" s="118" t="s">
        <v>1</v>
      </c>
      <c r="D29" s="119" t="s">
        <v>2</v>
      </c>
      <c r="E29" s="120">
        <v>70</v>
      </c>
      <c r="F29" s="121">
        <v>41275</v>
      </c>
      <c r="G29" s="122" t="s">
        <v>27</v>
      </c>
    </row>
    <row r="30" spans="1:7" ht="13.5" thickBot="1">
      <c r="A30" s="123" t="s">
        <v>47</v>
      </c>
      <c r="B30" s="124" t="s">
        <v>11</v>
      </c>
      <c r="C30" s="125" t="s">
        <v>1</v>
      </c>
      <c r="D30" s="126" t="s">
        <v>2</v>
      </c>
      <c r="E30" s="127">
        <v>90</v>
      </c>
      <c r="F30" s="128">
        <v>41275</v>
      </c>
      <c r="G30" s="129" t="s">
        <v>27</v>
      </c>
    </row>
    <row r="31" spans="1:7" ht="12.75">
      <c r="A31" s="109" t="s">
        <v>48</v>
      </c>
      <c r="B31" s="110" t="s">
        <v>38</v>
      </c>
      <c r="C31" s="111" t="s">
        <v>1</v>
      </c>
      <c r="D31" s="112" t="s">
        <v>2</v>
      </c>
      <c r="E31" s="113" t="s">
        <v>3</v>
      </c>
      <c r="F31" s="114">
        <v>41275</v>
      </c>
      <c r="G31" s="115" t="s">
        <v>27</v>
      </c>
    </row>
    <row r="32" spans="1:7" ht="12.75">
      <c r="A32" s="116" t="s">
        <v>48</v>
      </c>
      <c r="B32" s="117" t="s">
        <v>39</v>
      </c>
      <c r="C32" s="118" t="s">
        <v>1</v>
      </c>
      <c r="D32" s="119" t="s">
        <v>2</v>
      </c>
      <c r="E32" s="120">
        <v>75</v>
      </c>
      <c r="F32" s="121">
        <v>41275</v>
      </c>
      <c r="G32" s="122" t="s">
        <v>27</v>
      </c>
    </row>
    <row r="33" spans="1:7" ht="13.5" thickBot="1">
      <c r="A33" s="123" t="s">
        <v>48</v>
      </c>
      <c r="B33" s="124" t="s">
        <v>14</v>
      </c>
      <c r="C33" s="125" t="s">
        <v>1</v>
      </c>
      <c r="D33" s="126" t="s">
        <v>2</v>
      </c>
      <c r="E33" s="127">
        <v>115</v>
      </c>
      <c r="F33" s="128">
        <v>41275</v>
      </c>
      <c r="G33" s="129" t="s">
        <v>27</v>
      </c>
    </row>
    <row r="34" spans="1:7" ht="12.75">
      <c r="A34" s="109" t="s">
        <v>49</v>
      </c>
      <c r="B34" s="110" t="s">
        <v>40</v>
      </c>
      <c r="C34" s="111" t="s">
        <v>1</v>
      </c>
      <c r="D34" s="112" t="s">
        <v>2</v>
      </c>
      <c r="E34" s="113" t="s">
        <v>3</v>
      </c>
      <c r="F34" s="114">
        <v>41275</v>
      </c>
      <c r="G34" s="115" t="s">
        <v>27</v>
      </c>
    </row>
    <row r="35" spans="1:7" ht="13.5" thickBot="1">
      <c r="A35" s="123" t="s">
        <v>49</v>
      </c>
      <c r="B35" s="124" t="s">
        <v>41</v>
      </c>
      <c r="C35" s="125" t="s">
        <v>1</v>
      </c>
      <c r="D35" s="126" t="s">
        <v>2</v>
      </c>
      <c r="E35" s="127">
        <v>40</v>
      </c>
      <c r="F35" s="128">
        <v>41275</v>
      </c>
      <c r="G35" s="129" t="s">
        <v>27</v>
      </c>
    </row>
    <row r="36" spans="1:7" ht="12.75">
      <c r="A36" s="109" t="s">
        <v>50</v>
      </c>
      <c r="B36" s="110" t="s">
        <v>42</v>
      </c>
      <c r="C36" s="111" t="s">
        <v>1</v>
      </c>
      <c r="D36" s="112" t="s">
        <v>2</v>
      </c>
      <c r="E36" s="113" t="s">
        <v>3</v>
      </c>
      <c r="F36" s="114">
        <v>41275</v>
      </c>
      <c r="G36" s="115" t="s">
        <v>27</v>
      </c>
    </row>
    <row r="37" spans="1:7" ht="13.5" thickBot="1">
      <c r="A37" s="123" t="s">
        <v>50</v>
      </c>
      <c r="B37" s="124" t="s">
        <v>43</v>
      </c>
      <c r="C37" s="125" t="s">
        <v>1</v>
      </c>
      <c r="D37" s="126" t="s">
        <v>2</v>
      </c>
      <c r="E37" s="127">
        <v>70</v>
      </c>
      <c r="F37" s="128">
        <v>41275</v>
      </c>
      <c r="G37" s="129" t="s">
        <v>27</v>
      </c>
    </row>
    <row r="39" ht="12.75">
      <c r="A39" s="139" t="s">
        <v>98</v>
      </c>
    </row>
    <row r="40" spans="1:16" ht="12.75">
      <c r="A40" s="27" t="s">
        <v>61</v>
      </c>
      <c r="B40" s="136" t="s">
        <v>62</v>
      </c>
      <c r="C40" s="136" t="s">
        <v>63</v>
      </c>
      <c r="D40" s="136" t="s">
        <v>64</v>
      </c>
      <c r="E40" s="136" t="s">
        <v>65</v>
      </c>
      <c r="F40" s="136" t="s">
        <v>67</v>
      </c>
      <c r="G40" s="136" t="s">
        <v>68</v>
      </c>
      <c r="H40" s="136" t="s">
        <v>66</v>
      </c>
      <c r="I40" s="136" t="s">
        <v>75</v>
      </c>
      <c r="J40" s="136" t="s">
        <v>77</v>
      </c>
      <c r="K40" s="136" t="s">
        <v>78</v>
      </c>
      <c r="L40" s="37" t="s">
        <v>79</v>
      </c>
      <c r="M40" s="138" t="s">
        <v>80</v>
      </c>
      <c r="N40" s="138" t="s">
        <v>76</v>
      </c>
      <c r="O40" s="138" t="s">
        <v>82</v>
      </c>
      <c r="P40" s="138" t="s">
        <v>81</v>
      </c>
    </row>
    <row r="41" spans="1:16" ht="34.5" thickBot="1">
      <c r="A41" s="25" t="s">
        <v>55</v>
      </c>
      <c r="B41" s="26">
        <f>calculator_eurham!$C$14</f>
        <v>25</v>
      </c>
      <c r="C41" s="26">
        <f aca="true" t="shared" si="0" ref="C41:C52">B41-I41</f>
        <v>15</v>
      </c>
      <c r="D41" s="26">
        <f aca="true" t="shared" si="1" ref="D41:D46">C41-7</f>
        <v>8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685</v>
      </c>
      <c r="H41" s="26">
        <f aca="true" t="shared" si="3" ref="H41:H52">F41+G41</f>
        <v>685</v>
      </c>
      <c r="I41" s="134">
        <v>10</v>
      </c>
      <c r="J41" s="137">
        <f>calculator_eurham!$B$12+database_eurham!I41-1</f>
        <v>44571</v>
      </c>
      <c r="K41" s="137">
        <f>IF(E41=0,database_eurham!J41+database_eurham!C41,database_eurham!J41+database_eurham!E41)</f>
        <v>44578</v>
      </c>
      <c r="L41" s="134">
        <f>IF(F41=0,M41,F41)</f>
        <v>245</v>
      </c>
      <c r="M41" s="134">
        <f>E4*7</f>
        <v>245</v>
      </c>
      <c r="N41" s="134">
        <f>IF(G41=0,G41,G41-M41)</f>
        <v>440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134">
        <f>calculator_eurham!$C$14</f>
        <v>25</v>
      </c>
      <c r="C42" s="134">
        <f t="shared" si="0"/>
        <v>15</v>
      </c>
      <c r="D42" s="134">
        <f t="shared" si="1"/>
        <v>8</v>
      </c>
      <c r="E42" s="134">
        <f t="shared" si="2"/>
        <v>7</v>
      </c>
      <c r="F42" s="134">
        <f>IF(D42&lt;=0,C42*E7,0)</f>
        <v>0</v>
      </c>
      <c r="G42" s="134">
        <f>IF(D42&gt;=1,D42*E8+M42,0)</f>
        <v>995</v>
      </c>
      <c r="H42" s="134">
        <f t="shared" si="3"/>
        <v>995</v>
      </c>
      <c r="I42" s="134">
        <v>10</v>
      </c>
      <c r="J42" s="137">
        <f>calculator_eurham!$B$12+database_eurham!I42-1</f>
        <v>44571</v>
      </c>
      <c r="K42" s="137">
        <f>IF(E42=0,database_eurham!J42+database_eurham!C42,database_eurham!J42+database_eurham!E42)</f>
        <v>44578</v>
      </c>
      <c r="L42" s="134">
        <f aca="true" t="shared" si="4" ref="L42:L50">IF(F42=0,M42,F42)</f>
        <v>315</v>
      </c>
      <c r="M42" s="134">
        <f>E7*7</f>
        <v>315</v>
      </c>
      <c r="N42" s="134">
        <f aca="true" t="shared" si="5" ref="N42:N50">IF(G42=0,G42,G42-M42)</f>
        <v>680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134">
        <f>calculator_eurham!$C$14</f>
        <v>25</v>
      </c>
      <c r="C43" s="134">
        <f t="shared" si="0"/>
        <v>18</v>
      </c>
      <c r="D43" s="134">
        <f t="shared" si="1"/>
        <v>11</v>
      </c>
      <c r="E43" s="134">
        <f t="shared" si="2"/>
        <v>7</v>
      </c>
      <c r="F43" s="134">
        <f>IF(D43&lt;=0,C43*E10,0)</f>
        <v>0</v>
      </c>
      <c r="G43" s="134">
        <f>IF(D43&gt;=1,D43*E11+M43,0)</f>
        <v>1746</v>
      </c>
      <c r="H43" s="134">
        <f t="shared" si="3"/>
        <v>1746</v>
      </c>
      <c r="I43" s="134">
        <v>7</v>
      </c>
      <c r="J43" s="137">
        <f>calculator_eurham!$B$12+database_eurham!I43-1</f>
        <v>44568</v>
      </c>
      <c r="K43" s="137">
        <f>IF(E43=0,database_eurham!J43+database_eurham!C43,database_eurham!J43+database_eurham!E43)</f>
        <v>44575</v>
      </c>
      <c r="L43" s="134">
        <f t="shared" si="4"/>
        <v>525</v>
      </c>
      <c r="M43" s="134">
        <f>E10*7</f>
        <v>525</v>
      </c>
      <c r="N43" s="134">
        <f t="shared" si="5"/>
        <v>1221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134">
        <f>calculator_eurham!$C$14</f>
        <v>25</v>
      </c>
      <c r="C44" s="134">
        <f t="shared" si="0"/>
        <v>18</v>
      </c>
      <c r="D44" s="134">
        <f t="shared" si="1"/>
        <v>11</v>
      </c>
      <c r="E44" s="134">
        <f t="shared" si="2"/>
        <v>7</v>
      </c>
      <c r="F44" s="134">
        <f>IF(D44&lt;=0,C44*E13,0)</f>
        <v>0</v>
      </c>
      <c r="G44" s="134">
        <f>IF(D44&gt;=1,D44*E14+M44,0)</f>
        <v>2438</v>
      </c>
      <c r="H44" s="134">
        <f t="shared" si="3"/>
        <v>2438</v>
      </c>
      <c r="I44" s="134">
        <v>7</v>
      </c>
      <c r="J44" s="137">
        <f>calculator_eurham!$B$12+database_eurham!I44-1</f>
        <v>44568</v>
      </c>
      <c r="K44" s="137">
        <f>IF(E44=0,database_eurham!J44+database_eurham!C44,database_eurham!J44+database_eurham!E44)</f>
        <v>44575</v>
      </c>
      <c r="L44" s="134">
        <f t="shared" si="4"/>
        <v>777</v>
      </c>
      <c r="M44" s="134">
        <f>E13*7</f>
        <v>777</v>
      </c>
      <c r="N44" s="134">
        <f t="shared" si="5"/>
        <v>1661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134">
        <f>calculator_eurham!$C$14</f>
        <v>25</v>
      </c>
      <c r="C45" s="134">
        <f t="shared" si="0"/>
        <v>18</v>
      </c>
      <c r="D45" s="134">
        <f t="shared" si="1"/>
        <v>11</v>
      </c>
      <c r="E45" s="134">
        <f t="shared" si="2"/>
        <v>7</v>
      </c>
      <c r="F45" s="134">
        <f>IF(D45&lt;=0,C45*E16,0)</f>
        <v>0</v>
      </c>
      <c r="G45" s="134">
        <f>IF(D45&gt;=1,D45*E17+M45,0)</f>
        <v>1570</v>
      </c>
      <c r="H45" s="134">
        <f t="shared" si="3"/>
        <v>1570</v>
      </c>
      <c r="I45" s="134">
        <v>7</v>
      </c>
      <c r="J45" s="137">
        <f>calculator_eurham!$B$12+database_eurham!I45-1</f>
        <v>44568</v>
      </c>
      <c r="K45" s="137">
        <f>IF(E45=0,database_eurham!J45+database_eurham!C45,database_eurham!J45+database_eurham!E45)</f>
        <v>44575</v>
      </c>
      <c r="L45" s="134">
        <f t="shared" si="4"/>
        <v>525</v>
      </c>
      <c r="M45" s="134">
        <f>E16*7</f>
        <v>525</v>
      </c>
      <c r="N45" s="134">
        <f t="shared" si="5"/>
        <v>1045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134">
        <f>calculator_eurham!$C$14</f>
        <v>25</v>
      </c>
      <c r="C46" s="134">
        <f t="shared" si="0"/>
        <v>18</v>
      </c>
      <c r="D46" s="134">
        <f t="shared" si="1"/>
        <v>11</v>
      </c>
      <c r="E46" s="134">
        <f t="shared" si="2"/>
        <v>7</v>
      </c>
      <c r="F46" s="134">
        <f>IF(D46&lt;=0,C46*E19,0)</f>
        <v>0</v>
      </c>
      <c r="G46" s="134">
        <f>IF(D46&gt;=1,D46*E20+M46,0)</f>
        <v>2205</v>
      </c>
      <c r="H46" s="134">
        <f t="shared" si="3"/>
        <v>2205</v>
      </c>
      <c r="I46" s="134">
        <v>7</v>
      </c>
      <c r="J46" s="137">
        <f>calculator_eurham!$B$12+database_eurham!I46-1</f>
        <v>44568</v>
      </c>
      <c r="K46" s="137">
        <f>IF(E46=0,database_eurham!J46+database_eurham!C46,database_eurham!J46+database_eurham!E46)</f>
        <v>44575</v>
      </c>
      <c r="L46" s="134">
        <f t="shared" si="4"/>
        <v>665</v>
      </c>
      <c r="M46" s="134">
        <f>E19*7</f>
        <v>665</v>
      </c>
      <c r="N46" s="134">
        <f t="shared" si="5"/>
        <v>1540</v>
      </c>
      <c r="O46" s="39">
        <f>E19</f>
        <v>95</v>
      </c>
      <c r="P46" s="39">
        <f>E20</f>
        <v>140</v>
      </c>
    </row>
    <row r="47" spans="1:16" s="94" customFormat="1" ht="56.25" hidden="1">
      <c r="A47" s="95" t="s">
        <v>69</v>
      </c>
      <c r="B47" s="96">
        <f>calculator_eurham!$C$14</f>
        <v>25</v>
      </c>
      <c r="C47" s="96">
        <f t="shared" si="0"/>
        <v>15</v>
      </c>
      <c r="D47" s="96">
        <f>C47-15</f>
        <v>0</v>
      </c>
      <c r="E47" s="96">
        <f t="shared" si="2"/>
        <v>15</v>
      </c>
      <c r="F47" s="96">
        <f>IF(D47&lt;=0,C47*E23,0)</f>
        <v>150</v>
      </c>
      <c r="G47" s="96">
        <f>IF(D47&gt;=1,D47*E24+M47,0)</f>
        <v>0</v>
      </c>
      <c r="H47" s="96">
        <f t="shared" si="3"/>
        <v>150</v>
      </c>
      <c r="I47" s="96">
        <v>10</v>
      </c>
      <c r="J47" s="97">
        <f>calculator_eurham!$B$12+database_eurham!I47-1</f>
        <v>44571</v>
      </c>
      <c r="K47" s="97">
        <f>IF(E47=0,database_eurham!J47+database_eurham!C47,database_eurham!J47+database_eurham!E47)</f>
        <v>44586</v>
      </c>
      <c r="L47" s="96">
        <f t="shared" si="4"/>
        <v>150</v>
      </c>
      <c r="M47" s="96">
        <f>E23*15</f>
        <v>150</v>
      </c>
      <c r="N47" s="96">
        <f t="shared" si="5"/>
        <v>0</v>
      </c>
      <c r="O47" s="98">
        <f>E23</f>
        <v>10</v>
      </c>
      <c r="P47" s="98">
        <f>E24</f>
        <v>20</v>
      </c>
    </row>
    <row r="48" spans="1:16" s="94" customFormat="1" ht="56.25" hidden="1">
      <c r="A48" s="99" t="s">
        <v>70</v>
      </c>
      <c r="B48" s="96">
        <f>calculator_eurham!$C$14</f>
        <v>25</v>
      </c>
      <c r="C48" s="96">
        <f t="shared" si="0"/>
        <v>15</v>
      </c>
      <c r="D48" s="96">
        <f>C48-15</f>
        <v>0</v>
      </c>
      <c r="E48" s="96">
        <f t="shared" si="2"/>
        <v>15</v>
      </c>
      <c r="F48" s="96">
        <f>IF(D48&lt;=0,C48*E26,0)</f>
        <v>300</v>
      </c>
      <c r="G48" s="96">
        <f>IF(D48&gt;=1,D48*E27+M48,0)</f>
        <v>0</v>
      </c>
      <c r="H48" s="96">
        <f t="shared" si="3"/>
        <v>300</v>
      </c>
      <c r="I48" s="96">
        <v>10</v>
      </c>
      <c r="J48" s="97">
        <f>calculator_eurham!$B$12+database_eurham!I48-1</f>
        <v>44571</v>
      </c>
      <c r="K48" s="97">
        <f>IF(E48=0,database_eurham!J48+database_eurham!C48,database_eurham!J48+database_eurham!E48)</f>
        <v>44586</v>
      </c>
      <c r="L48" s="96">
        <f t="shared" si="4"/>
        <v>300</v>
      </c>
      <c r="M48" s="96">
        <f>E26*15</f>
        <v>300</v>
      </c>
      <c r="N48" s="96">
        <f t="shared" si="5"/>
        <v>0</v>
      </c>
      <c r="O48" s="98">
        <f>E26</f>
        <v>20</v>
      </c>
      <c r="P48" s="98">
        <f>E27</f>
        <v>30</v>
      </c>
    </row>
    <row r="49" spans="1:16" s="94" customFormat="1" ht="56.25" hidden="1">
      <c r="A49" s="99" t="s">
        <v>71</v>
      </c>
      <c r="B49" s="100">
        <f>calculator_eurham!$C$14</f>
        <v>25</v>
      </c>
      <c r="C49" s="100">
        <f t="shared" si="0"/>
        <v>20</v>
      </c>
      <c r="D49" s="100">
        <f>C49-5</f>
        <v>15</v>
      </c>
      <c r="E49" s="100">
        <f t="shared" si="2"/>
        <v>5</v>
      </c>
      <c r="F49" s="100">
        <f>IF(D49&lt;=0,C49*E29,0)</f>
        <v>0</v>
      </c>
      <c r="G49" s="100">
        <f>IF(D49&gt;=1,D49*E30+M49,0)</f>
        <v>1700</v>
      </c>
      <c r="H49" s="100">
        <f t="shared" si="3"/>
        <v>1700</v>
      </c>
      <c r="I49" s="96">
        <v>5</v>
      </c>
      <c r="J49" s="97">
        <f>calculator_eurham!$B$12+database_eurham!I49-1</f>
        <v>44566</v>
      </c>
      <c r="K49" s="97">
        <f>IF(E49=0,database_eurham!J49+database_eurham!C49,database_eurham!J49+database_eurham!E49)</f>
        <v>44571</v>
      </c>
      <c r="L49" s="96">
        <f t="shared" si="4"/>
        <v>350</v>
      </c>
      <c r="M49" s="96">
        <f>E29*5</f>
        <v>350</v>
      </c>
      <c r="N49" s="96">
        <f t="shared" si="5"/>
        <v>1350</v>
      </c>
      <c r="O49" s="98">
        <f>E29</f>
        <v>70</v>
      </c>
      <c r="P49" s="98">
        <f>E30</f>
        <v>90</v>
      </c>
    </row>
    <row r="50" spans="1:16" s="94" customFormat="1" ht="56.25" hidden="1">
      <c r="A50" s="99" t="s">
        <v>72</v>
      </c>
      <c r="B50" s="100">
        <f>calculator_eurham!$C$14</f>
        <v>25</v>
      </c>
      <c r="C50" s="100">
        <f t="shared" si="0"/>
        <v>20</v>
      </c>
      <c r="D50" s="100">
        <f>C50-5</f>
        <v>15</v>
      </c>
      <c r="E50" s="100">
        <f t="shared" si="2"/>
        <v>5</v>
      </c>
      <c r="F50" s="100">
        <f>IF(D50&lt;=0,C50*E32,0)</f>
        <v>0</v>
      </c>
      <c r="G50" s="100">
        <f>IF(D50&gt;=1,D50*E33+M50,0)</f>
        <v>2100</v>
      </c>
      <c r="H50" s="100">
        <f t="shared" si="3"/>
        <v>2100</v>
      </c>
      <c r="I50" s="96">
        <v>5</v>
      </c>
      <c r="J50" s="97">
        <f>calculator_eurham!$B$12+database_eurham!I50-1</f>
        <v>44566</v>
      </c>
      <c r="K50" s="97">
        <f>IF(E50=0,database_eurham!J50+database_eurham!C50,database_eurham!J50+database_eurham!E50)</f>
        <v>44571</v>
      </c>
      <c r="L50" s="96">
        <f t="shared" si="4"/>
        <v>375</v>
      </c>
      <c r="M50" s="96">
        <f>E32*5</f>
        <v>375</v>
      </c>
      <c r="N50" s="96">
        <f t="shared" si="5"/>
        <v>1725</v>
      </c>
      <c r="O50" s="98">
        <f>E32</f>
        <v>75</v>
      </c>
      <c r="P50" s="98">
        <f>E33</f>
        <v>115</v>
      </c>
    </row>
    <row r="51" spans="1:16" s="94" customFormat="1" ht="56.25" hidden="1">
      <c r="A51" s="99" t="s">
        <v>73</v>
      </c>
      <c r="B51" s="100">
        <f>calculator_eurham!$C$14</f>
        <v>25</v>
      </c>
      <c r="C51" s="100">
        <f t="shared" si="0"/>
        <v>15</v>
      </c>
      <c r="D51" s="101"/>
      <c r="E51" s="100">
        <f t="shared" si="2"/>
        <v>15</v>
      </c>
      <c r="F51" s="100">
        <f>IF(D51&lt;=0,C51*E35,0)</f>
        <v>600</v>
      </c>
      <c r="G51" s="101"/>
      <c r="H51" s="100">
        <f t="shared" si="3"/>
        <v>600</v>
      </c>
      <c r="I51" s="96">
        <v>10</v>
      </c>
      <c r="J51" s="97">
        <f>calculator_eurham!$B$12+database_eurham!I51-1</f>
        <v>44571</v>
      </c>
      <c r="K51" s="97">
        <f>IF(E51=0,database_eurham!J51+database_eurham!C51,database_eurham!J51+database_eurham!E51)</f>
        <v>44586</v>
      </c>
      <c r="L51" s="96">
        <f>H51</f>
        <v>600</v>
      </c>
      <c r="M51" s="96"/>
      <c r="N51" s="102"/>
      <c r="O51" s="98">
        <f>E35</f>
        <v>40</v>
      </c>
      <c r="P51" s="102"/>
    </row>
    <row r="52" spans="1:16" s="94" customFormat="1" ht="56.25" hidden="1">
      <c r="A52" s="99" t="s">
        <v>74</v>
      </c>
      <c r="B52" s="100">
        <f>calculator_eurham!$C$14</f>
        <v>25</v>
      </c>
      <c r="C52" s="100">
        <f t="shared" si="0"/>
        <v>15</v>
      </c>
      <c r="D52" s="101"/>
      <c r="E52" s="100">
        <f t="shared" si="2"/>
        <v>15</v>
      </c>
      <c r="F52" s="100">
        <f>IF(D52&lt;=0,C52*E37,0)</f>
        <v>1050</v>
      </c>
      <c r="G52" s="101"/>
      <c r="H52" s="100">
        <f t="shared" si="3"/>
        <v>1050</v>
      </c>
      <c r="I52" s="96">
        <v>10</v>
      </c>
      <c r="J52" s="97">
        <f>calculator_eurham!$B$12+database_eurham!I52-1</f>
        <v>44571</v>
      </c>
      <c r="K52" s="97">
        <f>IF(E52=0,database_eurham!J52+database_eurham!C52,database_eurham!J52+database_eurham!E52)</f>
        <v>44586</v>
      </c>
      <c r="L52" s="96">
        <f>H52</f>
        <v>1050</v>
      </c>
      <c r="M52" s="96"/>
      <c r="N52" s="102"/>
      <c r="O52" s="98">
        <f>E37</f>
        <v>70</v>
      </c>
      <c r="P52" s="102"/>
    </row>
    <row r="54" ht="12.75">
      <c r="B54" s="64"/>
    </row>
    <row r="55" ht="12.75">
      <c r="A55" s="139" t="s">
        <v>93</v>
      </c>
    </row>
    <row r="56" spans="1:16" ht="12.75">
      <c r="A56" s="23" t="s">
        <v>118</v>
      </c>
      <c r="B56" s="134">
        <f>calculator_eurham!$C$13</f>
        <v>11</v>
      </c>
      <c r="C56" s="134">
        <f aca="true" t="shared" si="6" ref="C56:C67">B56-I56</f>
        <v>5</v>
      </c>
      <c r="D56" s="133">
        <f>C56-8</f>
        <v>-3</v>
      </c>
      <c r="E56" s="134">
        <f aca="true" t="shared" si="7" ref="E56:E67">IF(D56&gt;=0,C56-D56,0)</f>
        <v>0</v>
      </c>
      <c r="F56" s="134">
        <f aca="true" t="shared" si="8" ref="F56:F67">IF(D56&lt;=0,C56*O56,0)</f>
        <v>187.5</v>
      </c>
      <c r="G56" s="134">
        <f aca="true" t="shared" si="9" ref="G56:G67">IF(D56&gt;=1,D56*P56+M56,0)</f>
        <v>0</v>
      </c>
      <c r="H56" s="134">
        <f aca="true" t="shared" si="10" ref="H56:H67">F56+G56</f>
        <v>187.5</v>
      </c>
      <c r="I56" s="133">
        <v>6</v>
      </c>
      <c r="J56" s="141">
        <f>calculator_eurham!$B$13+database_eurham!I56-1</f>
        <v>44581</v>
      </c>
      <c r="K56" s="137">
        <f>IF(E56=0,database_eurham!J56+database_eurham!C56,database_eurham!J56+database_eurham!E56)</f>
        <v>44586</v>
      </c>
      <c r="L56" s="134">
        <f aca="true" t="shared" si="11" ref="L56:L67">IF(F56=0,M56,F56)</f>
        <v>187.5</v>
      </c>
      <c r="M56" s="134">
        <f>O56*5</f>
        <v>187.5</v>
      </c>
      <c r="N56" s="134">
        <f aca="true" t="shared" si="12" ref="N56:N67">IF(G56=0,G56,G56-M56)</f>
        <v>0</v>
      </c>
      <c r="O56" s="134">
        <f>$J$12</f>
        <v>37.5</v>
      </c>
      <c r="P56" s="134">
        <f>$J$13</f>
        <v>75</v>
      </c>
    </row>
    <row r="57" spans="1:16" ht="12.75">
      <c r="A57" s="23" t="s">
        <v>124</v>
      </c>
      <c r="B57" s="134">
        <f>calculator_eurham!$C$13</f>
        <v>11</v>
      </c>
      <c r="C57" s="134">
        <f t="shared" si="6"/>
        <v>9</v>
      </c>
      <c r="D57" s="133">
        <f aca="true" t="shared" si="13" ref="D57:D67">C57-8</f>
        <v>1</v>
      </c>
      <c r="E57" s="134">
        <f t="shared" si="7"/>
        <v>8</v>
      </c>
      <c r="F57" s="134">
        <f t="shared" si="8"/>
        <v>0</v>
      </c>
      <c r="G57" s="134">
        <f t="shared" si="9"/>
        <v>450</v>
      </c>
      <c r="H57" s="134">
        <f t="shared" si="10"/>
        <v>450</v>
      </c>
      <c r="I57" s="133">
        <v>2</v>
      </c>
      <c r="J57" s="141">
        <f>calculator_eurham!$B$13+database_eurham!I57-1</f>
        <v>44577</v>
      </c>
      <c r="K57" s="137">
        <f>IF(E57=0,database_eurham!J57+database_eurham!C57,database_eurham!J57+database_eurham!E57)</f>
        <v>44585</v>
      </c>
      <c r="L57" s="134">
        <f t="shared" si="11"/>
        <v>300</v>
      </c>
      <c r="M57" s="134">
        <f>O57*4</f>
        <v>300</v>
      </c>
      <c r="N57" s="134">
        <f t="shared" si="12"/>
        <v>150</v>
      </c>
      <c r="O57" s="134">
        <f>$J$16</f>
        <v>75</v>
      </c>
      <c r="P57" s="134">
        <f>$J$17</f>
        <v>150</v>
      </c>
    </row>
    <row r="58" spans="1:16" ht="12.75">
      <c r="A58" s="23" t="s">
        <v>119</v>
      </c>
      <c r="B58" s="134">
        <f>calculator_eurham!$C$13</f>
        <v>11</v>
      </c>
      <c r="C58" s="134">
        <f t="shared" si="6"/>
        <v>5</v>
      </c>
      <c r="D58" s="133">
        <f t="shared" si="13"/>
        <v>-3</v>
      </c>
      <c r="E58" s="134">
        <f t="shared" si="7"/>
        <v>0</v>
      </c>
      <c r="F58" s="134">
        <f t="shared" si="8"/>
        <v>375</v>
      </c>
      <c r="G58" s="134">
        <f t="shared" si="9"/>
        <v>0</v>
      </c>
      <c r="H58" s="134">
        <f t="shared" si="10"/>
        <v>375</v>
      </c>
      <c r="I58" s="133">
        <v>6</v>
      </c>
      <c r="J58" s="141">
        <f>calculator_eurham!$B$13+database_eurham!I58-1</f>
        <v>44581</v>
      </c>
      <c r="K58" s="137">
        <f>IF(E58=0,database_eurham!J58+database_eurham!C58,database_eurham!J58+database_eurham!E58)</f>
        <v>44586</v>
      </c>
      <c r="L58" s="134">
        <f t="shared" si="11"/>
        <v>375</v>
      </c>
      <c r="M58" s="134">
        <f aca="true" t="shared" si="14" ref="M58:M66">O58*5</f>
        <v>375</v>
      </c>
      <c r="N58" s="134">
        <f t="shared" si="12"/>
        <v>0</v>
      </c>
      <c r="O58" s="134">
        <f>$J$14</f>
        <v>75</v>
      </c>
      <c r="P58" s="134">
        <f>$J$15</f>
        <v>150</v>
      </c>
    </row>
    <row r="59" spans="1:16" ht="12.75">
      <c r="A59" s="23" t="s">
        <v>125</v>
      </c>
      <c r="B59" s="134">
        <f>calculator_eurham!$C$13</f>
        <v>11</v>
      </c>
      <c r="C59" s="134">
        <f t="shared" si="6"/>
        <v>9</v>
      </c>
      <c r="D59" s="133">
        <f t="shared" si="13"/>
        <v>1</v>
      </c>
      <c r="E59" s="134">
        <f t="shared" si="7"/>
        <v>8</v>
      </c>
      <c r="F59" s="134">
        <f t="shared" si="8"/>
        <v>0</v>
      </c>
      <c r="G59" s="134">
        <f t="shared" si="9"/>
        <v>900</v>
      </c>
      <c r="H59" s="134">
        <f t="shared" si="10"/>
        <v>900</v>
      </c>
      <c r="I59" s="133">
        <v>2</v>
      </c>
      <c r="J59" s="141">
        <f>calculator_eurham!$B$13+database_eurham!I59-1</f>
        <v>44577</v>
      </c>
      <c r="K59" s="137">
        <f>IF(E59=0,database_eurham!J59+database_eurham!C59,database_eurham!J59+database_eurham!E59)</f>
        <v>44585</v>
      </c>
      <c r="L59" s="134">
        <f t="shared" si="11"/>
        <v>600</v>
      </c>
      <c r="M59" s="134">
        <f>O59*4</f>
        <v>600</v>
      </c>
      <c r="N59" s="134">
        <f t="shared" si="12"/>
        <v>300</v>
      </c>
      <c r="O59" s="134">
        <f>$J$18</f>
        <v>150</v>
      </c>
      <c r="P59" s="134">
        <f>$J$19</f>
        <v>300</v>
      </c>
    </row>
    <row r="60" spans="1:16" s="108" customFormat="1" ht="12.75">
      <c r="A60" s="23" t="s">
        <v>120</v>
      </c>
      <c r="B60" s="143">
        <f>calculator_eurham!$C$13</f>
        <v>11</v>
      </c>
      <c r="C60" s="143">
        <f t="shared" si="6"/>
        <v>7</v>
      </c>
      <c r="D60" s="140">
        <f t="shared" si="13"/>
        <v>-1</v>
      </c>
      <c r="E60" s="143">
        <f t="shared" si="7"/>
        <v>0</v>
      </c>
      <c r="F60" s="143">
        <f t="shared" si="8"/>
        <v>393.75</v>
      </c>
      <c r="G60" s="143">
        <f t="shared" si="9"/>
        <v>0</v>
      </c>
      <c r="H60" s="143">
        <f t="shared" si="10"/>
        <v>393.75</v>
      </c>
      <c r="I60" s="140">
        <v>4</v>
      </c>
      <c r="J60" s="144">
        <f>calculator_eurham!$B$13+database_eurham!I60-1</f>
        <v>44579</v>
      </c>
      <c r="K60" s="145">
        <f>IF(E60=0,database_eurham!J60+database_eurham!C60,database_eurham!J60+database_eurham!E60)</f>
        <v>44586</v>
      </c>
      <c r="L60" s="143">
        <f t="shared" si="11"/>
        <v>393.75</v>
      </c>
      <c r="M60" s="143">
        <f t="shared" si="14"/>
        <v>281.25</v>
      </c>
      <c r="N60" s="143">
        <f t="shared" si="12"/>
        <v>0</v>
      </c>
      <c r="O60" s="143">
        <f>$J$24</f>
        <v>56.25</v>
      </c>
      <c r="P60" s="143">
        <f>$J$25</f>
        <v>112.5</v>
      </c>
    </row>
    <row r="61" spans="1:16" s="108" customFormat="1" ht="12.75">
      <c r="A61" s="23" t="s">
        <v>126</v>
      </c>
      <c r="B61" s="143">
        <f>calculator_eurham!$C$13</f>
        <v>11</v>
      </c>
      <c r="C61" s="143">
        <f t="shared" si="6"/>
        <v>9</v>
      </c>
      <c r="D61" s="140">
        <f t="shared" si="13"/>
        <v>1</v>
      </c>
      <c r="E61" s="143">
        <f t="shared" si="7"/>
        <v>8</v>
      </c>
      <c r="F61" s="143">
        <f t="shared" si="8"/>
        <v>0</v>
      </c>
      <c r="G61" s="143">
        <f t="shared" si="9"/>
        <v>450</v>
      </c>
      <c r="H61" s="143">
        <f t="shared" si="10"/>
        <v>450</v>
      </c>
      <c r="I61" s="140">
        <v>2</v>
      </c>
      <c r="J61" s="144">
        <f>calculator_eurham!$B$13+database_eurham!I61-1</f>
        <v>44577</v>
      </c>
      <c r="K61" s="145">
        <f>IF(E61=0,database_eurham!J61+database_eurham!C61,database_eurham!J61+database_eurham!E61)</f>
        <v>44585</v>
      </c>
      <c r="L61" s="143">
        <f t="shared" si="11"/>
        <v>300</v>
      </c>
      <c r="M61" s="143">
        <f>O61*4</f>
        <v>300</v>
      </c>
      <c r="N61" s="143">
        <f t="shared" si="12"/>
        <v>150</v>
      </c>
      <c r="O61" s="143">
        <f>$J$16</f>
        <v>75</v>
      </c>
      <c r="P61" s="143">
        <f>$J$17</f>
        <v>150</v>
      </c>
    </row>
    <row r="62" spans="1:16" s="108" customFormat="1" ht="12.75">
      <c r="A62" s="23" t="s">
        <v>121</v>
      </c>
      <c r="B62" s="143">
        <f>calculator_eurham!$C$13</f>
        <v>11</v>
      </c>
      <c r="C62" s="143">
        <f t="shared" si="6"/>
        <v>7</v>
      </c>
      <c r="D62" s="140">
        <f t="shared" si="13"/>
        <v>-1</v>
      </c>
      <c r="E62" s="143">
        <f t="shared" si="7"/>
        <v>0</v>
      </c>
      <c r="F62" s="143">
        <f t="shared" si="8"/>
        <v>787.5</v>
      </c>
      <c r="G62" s="143">
        <f t="shared" si="9"/>
        <v>0</v>
      </c>
      <c r="H62" s="143">
        <f t="shared" si="10"/>
        <v>787.5</v>
      </c>
      <c r="I62" s="140">
        <v>4</v>
      </c>
      <c r="J62" s="144">
        <f>calculator_eurham!$B$13+database_eurham!I62-1</f>
        <v>44579</v>
      </c>
      <c r="K62" s="145">
        <f>IF(E62=0,database_eurham!J62+database_eurham!C62,database_eurham!J62+database_eurham!E62)</f>
        <v>44586</v>
      </c>
      <c r="L62" s="143">
        <f t="shared" si="11"/>
        <v>787.5</v>
      </c>
      <c r="M62" s="143">
        <f t="shared" si="14"/>
        <v>562.5</v>
      </c>
      <c r="N62" s="143">
        <f t="shared" si="12"/>
        <v>0</v>
      </c>
      <c r="O62" s="143">
        <f>$J$26</f>
        <v>112.5</v>
      </c>
      <c r="P62" s="143">
        <f>$J$27</f>
        <v>225</v>
      </c>
    </row>
    <row r="63" spans="1:16" s="108" customFormat="1" ht="12.75">
      <c r="A63" s="23" t="s">
        <v>127</v>
      </c>
      <c r="B63" s="143">
        <f>calculator_eurham!$C$13</f>
        <v>11</v>
      </c>
      <c r="C63" s="143">
        <f t="shared" si="6"/>
        <v>9</v>
      </c>
      <c r="D63" s="140">
        <f t="shared" si="13"/>
        <v>1</v>
      </c>
      <c r="E63" s="143">
        <f t="shared" si="7"/>
        <v>8</v>
      </c>
      <c r="F63" s="143">
        <f t="shared" si="8"/>
        <v>0</v>
      </c>
      <c r="G63" s="143">
        <f t="shared" si="9"/>
        <v>900</v>
      </c>
      <c r="H63" s="143">
        <f t="shared" si="10"/>
        <v>900</v>
      </c>
      <c r="I63" s="140">
        <v>2</v>
      </c>
      <c r="J63" s="144">
        <f>calculator_eurham!$B$13+database_eurham!I63-1</f>
        <v>44577</v>
      </c>
      <c r="K63" s="145">
        <f>IF(E63=0,database_eurham!J63+database_eurham!C63,database_eurham!J63+database_eurham!E63)</f>
        <v>44585</v>
      </c>
      <c r="L63" s="143">
        <f t="shared" si="11"/>
        <v>600</v>
      </c>
      <c r="M63" s="143">
        <f>O63*4</f>
        <v>600</v>
      </c>
      <c r="N63" s="143">
        <f t="shared" si="12"/>
        <v>300</v>
      </c>
      <c r="O63" s="143">
        <f>$J$18</f>
        <v>150</v>
      </c>
      <c r="P63" s="143">
        <f>$J$19</f>
        <v>300</v>
      </c>
    </row>
    <row r="64" spans="1:16" ht="12.75">
      <c r="A64" s="23" t="s">
        <v>122</v>
      </c>
      <c r="B64" s="134">
        <f>calculator_eurham!$C$13</f>
        <v>11</v>
      </c>
      <c r="C64" s="134">
        <f t="shared" si="6"/>
        <v>7</v>
      </c>
      <c r="D64" s="133">
        <f t="shared" si="13"/>
        <v>-1</v>
      </c>
      <c r="E64" s="134">
        <f t="shared" si="7"/>
        <v>0</v>
      </c>
      <c r="F64" s="134">
        <f t="shared" si="8"/>
        <v>525</v>
      </c>
      <c r="G64" s="134">
        <f t="shared" si="9"/>
        <v>0</v>
      </c>
      <c r="H64" s="134">
        <f t="shared" si="10"/>
        <v>525</v>
      </c>
      <c r="I64" s="133">
        <v>4</v>
      </c>
      <c r="J64" s="141">
        <f>calculator_eurham!$B$13+database_eurham!I64-1</f>
        <v>44579</v>
      </c>
      <c r="K64" s="137">
        <f>IF(E64=0,database_eurham!J64+database_eurham!C64,database_eurham!J64+database_eurham!E64)</f>
        <v>44586</v>
      </c>
      <c r="L64" s="134">
        <f t="shared" si="11"/>
        <v>525</v>
      </c>
      <c r="M64" s="134">
        <f t="shared" si="14"/>
        <v>375</v>
      </c>
      <c r="N64" s="134">
        <f t="shared" si="12"/>
        <v>0</v>
      </c>
      <c r="O64" s="134">
        <f>$J$20</f>
        <v>75</v>
      </c>
      <c r="P64" s="134">
        <f>$J$21</f>
        <v>150</v>
      </c>
    </row>
    <row r="65" spans="1:16" ht="12.75">
      <c r="A65" s="23" t="s">
        <v>128</v>
      </c>
      <c r="B65" s="134">
        <f>calculator_eurham!$C$13</f>
        <v>11</v>
      </c>
      <c r="C65" s="134">
        <f t="shared" si="6"/>
        <v>9</v>
      </c>
      <c r="D65" s="133">
        <f t="shared" si="13"/>
        <v>1</v>
      </c>
      <c r="E65" s="134">
        <f t="shared" si="7"/>
        <v>8</v>
      </c>
      <c r="F65" s="134">
        <f t="shared" si="8"/>
        <v>0</v>
      </c>
      <c r="G65" s="134">
        <f t="shared" si="9"/>
        <v>450</v>
      </c>
      <c r="H65" s="134">
        <f t="shared" si="10"/>
        <v>450</v>
      </c>
      <c r="I65" s="133">
        <v>2</v>
      </c>
      <c r="J65" s="141">
        <f>calculator_eurham!$B$13+database_eurham!I65-1</f>
        <v>44577</v>
      </c>
      <c r="K65" s="137">
        <f>IF(E65=0,database_eurham!J65+database_eurham!C65,database_eurham!J65+database_eurham!E65)</f>
        <v>44585</v>
      </c>
      <c r="L65" s="134">
        <f t="shared" si="11"/>
        <v>300</v>
      </c>
      <c r="M65" s="134">
        <f>O65*4</f>
        <v>300</v>
      </c>
      <c r="N65" s="134">
        <f t="shared" si="12"/>
        <v>150</v>
      </c>
      <c r="O65" s="134">
        <f>$J$16</f>
        <v>75</v>
      </c>
      <c r="P65" s="134">
        <f>$J$17</f>
        <v>150</v>
      </c>
    </row>
    <row r="66" spans="1:16" ht="12.75">
      <c r="A66" s="23" t="s">
        <v>123</v>
      </c>
      <c r="B66" s="134">
        <f>calculator_eurham!$C$13</f>
        <v>11</v>
      </c>
      <c r="C66" s="134">
        <f t="shared" si="6"/>
        <v>7</v>
      </c>
      <c r="D66" s="133">
        <f t="shared" si="13"/>
        <v>-1</v>
      </c>
      <c r="E66" s="134">
        <f t="shared" si="7"/>
        <v>0</v>
      </c>
      <c r="F66" s="134">
        <f t="shared" si="8"/>
        <v>1050</v>
      </c>
      <c r="G66" s="134">
        <f t="shared" si="9"/>
        <v>0</v>
      </c>
      <c r="H66" s="134">
        <f t="shared" si="10"/>
        <v>1050</v>
      </c>
      <c r="I66" s="133">
        <v>4</v>
      </c>
      <c r="J66" s="141">
        <f>calculator_eurham!$B$13+database_eurham!I66-1</f>
        <v>44579</v>
      </c>
      <c r="K66" s="137">
        <f>IF(E66=0,database_eurham!J66+database_eurham!C66,database_eurham!J66+database_eurham!E66)</f>
        <v>44586</v>
      </c>
      <c r="L66" s="134">
        <f t="shared" si="11"/>
        <v>1050</v>
      </c>
      <c r="M66" s="134">
        <f t="shared" si="14"/>
        <v>750</v>
      </c>
      <c r="N66" s="134">
        <f t="shared" si="12"/>
        <v>0</v>
      </c>
      <c r="O66" s="134">
        <f>$J$22</f>
        <v>150</v>
      </c>
      <c r="P66" s="134">
        <f>$J23</f>
        <v>300</v>
      </c>
    </row>
    <row r="67" spans="1:16" ht="12.75">
      <c r="A67" s="23" t="s">
        <v>129</v>
      </c>
      <c r="B67" s="134">
        <f>calculator_eurham!$C$13</f>
        <v>11</v>
      </c>
      <c r="C67" s="134">
        <f t="shared" si="6"/>
        <v>9</v>
      </c>
      <c r="D67" s="133">
        <f t="shared" si="13"/>
        <v>1</v>
      </c>
      <c r="E67" s="134">
        <f t="shared" si="7"/>
        <v>8</v>
      </c>
      <c r="F67" s="134">
        <f t="shared" si="8"/>
        <v>0</v>
      </c>
      <c r="G67" s="134">
        <f t="shared" si="9"/>
        <v>900</v>
      </c>
      <c r="H67" s="134">
        <f t="shared" si="10"/>
        <v>900</v>
      </c>
      <c r="I67" s="133">
        <v>2</v>
      </c>
      <c r="J67" s="141">
        <f>calculator_eurham!$B$13+database_eurham!I67-1</f>
        <v>44577</v>
      </c>
      <c r="K67" s="137">
        <f>IF(E67=0,database_eurham!J67+database_eurham!C67,database_eurham!J67+database_eurham!E67)</f>
        <v>44585</v>
      </c>
      <c r="L67" s="134">
        <f t="shared" si="11"/>
        <v>600</v>
      </c>
      <c r="M67" s="134">
        <f>O67*4</f>
        <v>600</v>
      </c>
      <c r="N67" s="134">
        <f t="shared" si="12"/>
        <v>300</v>
      </c>
      <c r="O67" s="134">
        <f>$J$18</f>
        <v>150</v>
      </c>
      <c r="P67" s="134">
        <f>$J$19</f>
        <v>300</v>
      </c>
    </row>
    <row r="70" ht="12.75">
      <c r="A70" s="139" t="s">
        <v>107</v>
      </c>
    </row>
    <row r="71" spans="1:12" ht="12.75">
      <c r="A71" s="130" t="s">
        <v>108</v>
      </c>
      <c r="B71" s="134">
        <f>calculator_eurham!$C$14</f>
        <v>25</v>
      </c>
      <c r="C71" s="134">
        <f>B71-I71</f>
        <v>23</v>
      </c>
      <c r="I71" s="130">
        <v>2</v>
      </c>
      <c r="J71" s="137">
        <f>calculator_eurham!$B$12+database_eurham!I71</f>
        <v>44564</v>
      </c>
      <c r="K71" s="137">
        <f>IF(E71=0,database_eurham!J71+database_eurham!C71,database_eurham!J71+database_eurham!E71)</f>
        <v>44587</v>
      </c>
      <c r="L71" s="134">
        <f>IF(F71=0,M71,F71)</f>
        <v>0</v>
      </c>
    </row>
  </sheetData>
  <sheetProtection selectLockedCells="1"/>
  <mergeCells count="6">
    <mergeCell ref="A2:G2"/>
    <mergeCell ref="H12:H15"/>
    <mergeCell ref="H16:H19"/>
    <mergeCell ref="H20:H23"/>
    <mergeCell ref="A21:G21"/>
    <mergeCell ref="H24:H27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70"/>
  <sheetViews>
    <sheetView showGridLines="0" showRowColHeaders="0" zoomScalePageLayoutView="0" workbookViewId="0" topLeftCell="A1">
      <selection activeCell="A7" sqref="A7:D7"/>
    </sheetView>
  </sheetViews>
  <sheetFormatPr defaultColWidth="9.140625" defaultRowHeight="12.75"/>
  <cols>
    <col min="1" max="1" width="34.8515625" style="130" customWidth="1"/>
    <col min="2" max="2" width="104.7109375" style="130" bestFit="1" customWidth="1"/>
    <col min="3" max="3" width="10.140625" style="130" bestFit="1" customWidth="1"/>
    <col min="4" max="16384" width="9.140625" style="130" customWidth="1"/>
  </cols>
  <sheetData>
    <row r="1" ht="12.75">
      <c r="A1" s="74">
        <v>2013</v>
      </c>
    </row>
    <row r="2" ht="12.75"/>
    <row r="3" ht="12.75"/>
    <row r="4" spans="1:4" ht="12.75">
      <c r="A4" s="91"/>
      <c r="B4" s="92"/>
      <c r="C4" s="92"/>
      <c r="D4" s="106" t="s">
        <v>136</v>
      </c>
    </row>
    <row r="5" spans="1:3" ht="12.75">
      <c r="A5" s="93"/>
      <c r="B5" s="92"/>
      <c r="C5" s="92"/>
    </row>
    <row r="6" spans="1:4" ht="18.75" thickBot="1">
      <c r="A6" s="186" t="s">
        <v>135</v>
      </c>
      <c r="B6" s="186"/>
      <c r="C6" s="186"/>
      <c r="D6" s="186"/>
    </row>
    <row r="7" spans="1:4" ht="18.75" thickBot="1">
      <c r="A7" s="183" t="s">
        <v>196</v>
      </c>
      <c r="B7" s="184"/>
      <c r="C7" s="184"/>
      <c r="D7" s="185"/>
    </row>
    <row r="8" spans="1:4" ht="18">
      <c r="A8" s="62"/>
      <c r="B8" s="29"/>
      <c r="C8" s="63"/>
      <c r="D8" s="63"/>
    </row>
    <row r="9" spans="1:4" ht="18">
      <c r="A9" s="59" t="s">
        <v>102</v>
      </c>
      <c r="B9" s="29"/>
      <c r="C9" s="29"/>
      <c r="D9" s="29"/>
    </row>
    <row r="10" spans="1:4" ht="18">
      <c r="A10" s="130" t="s">
        <v>116</v>
      </c>
      <c r="B10" s="90" t="s">
        <v>115</v>
      </c>
      <c r="C10" s="29"/>
      <c r="D10" s="29"/>
    </row>
    <row r="11" spans="1:4" ht="15.75">
      <c r="A11" s="60"/>
      <c r="B11" s="89" t="s">
        <v>114</v>
      </c>
      <c r="C11" s="64"/>
      <c r="D11" s="64"/>
    </row>
    <row r="12" spans="1:4" ht="15.75" customHeight="1" thickBot="1">
      <c r="A12" s="86" t="s">
        <v>142</v>
      </c>
      <c r="B12" s="87">
        <v>44562</v>
      </c>
      <c r="C12" s="64"/>
      <c r="D12" s="64"/>
    </row>
    <row r="13" spans="1:4" ht="13.5" thickBot="1">
      <c r="A13" s="86" t="s">
        <v>113</v>
      </c>
      <c r="B13" s="87">
        <v>44576</v>
      </c>
      <c r="C13" s="154">
        <f>B14-B13+1</f>
        <v>11</v>
      </c>
      <c r="D13" s="65" t="s">
        <v>54</v>
      </c>
    </row>
    <row r="14" spans="1:4" ht="13.5" thickBot="1">
      <c r="A14" s="86" t="s">
        <v>143</v>
      </c>
      <c r="B14" s="87">
        <v>44586</v>
      </c>
      <c r="C14" s="75">
        <f>B14-B12+1</f>
        <v>25</v>
      </c>
      <c r="D14" s="65" t="s">
        <v>54</v>
      </c>
    </row>
    <row r="15" spans="1:4" ht="12.75">
      <c r="A15" s="86" t="s">
        <v>103</v>
      </c>
      <c r="B15" s="87" t="s">
        <v>97</v>
      </c>
      <c r="C15" s="79" t="str">
        <f>B17</f>
        <v>40' standard</v>
      </c>
      <c r="D15" s="65"/>
    </row>
    <row r="16" spans="1:4" ht="12.75">
      <c r="A16" s="61"/>
      <c r="B16" s="19"/>
      <c r="C16" s="64"/>
      <c r="D16" s="64"/>
    </row>
    <row r="17" spans="1:4" ht="12.75">
      <c r="A17" s="86" t="s">
        <v>88</v>
      </c>
      <c r="B17" s="88" t="s">
        <v>46</v>
      </c>
      <c r="C17" s="66" t="str">
        <f>RIGHT(B17,6)</f>
        <v>andard</v>
      </c>
      <c r="D17" s="64"/>
    </row>
    <row r="18" spans="1:4" ht="12.75" hidden="1">
      <c r="A18" s="86" t="s">
        <v>51</v>
      </c>
      <c r="B18" s="88" t="s">
        <v>52</v>
      </c>
      <c r="C18" s="66"/>
      <c r="D18" s="64"/>
    </row>
    <row r="19" spans="1:4" ht="13.5" thickBot="1">
      <c r="A19" s="77"/>
      <c r="B19" s="135" t="str">
        <f>CONCATENATE(B18,B17)</f>
        <v>Germany, Belgium, Netherlands, France, Ireland, Scandinavia40' standard</v>
      </c>
      <c r="C19" s="64"/>
      <c r="D19" s="64"/>
    </row>
    <row r="20" spans="1:5" ht="14.25" thickBot="1" thickTop="1">
      <c r="A20" s="81">
        <f>IF(B36&lt;&gt;"FREE",_xlfn.IFERROR(VLOOKUP(B19,database_eurbrv!A40:I52,9,FALSE),"not found in tariff database"),"FREE")</f>
        <v>10</v>
      </c>
      <c r="B20" s="82">
        <f>_xlfn.IFERROR(VLOOKUP(B19,database_eurbrv!A40:H52,8,FALSE),"not found in tariff database")</f>
        <v>995</v>
      </c>
      <c r="C20" s="83"/>
      <c r="D20" s="83"/>
      <c r="E20" s="83"/>
    </row>
    <row r="21" spans="1:4" ht="27.75" customHeight="1" thickBot="1">
      <c r="A21" s="78" t="s">
        <v>94</v>
      </c>
      <c r="B21" s="104" t="s">
        <v>171</v>
      </c>
      <c r="C21" s="64"/>
      <c r="D21" s="64"/>
    </row>
    <row r="22" spans="1:4" ht="12.75">
      <c r="A22" s="52" t="s">
        <v>89</v>
      </c>
      <c r="B22" s="50" t="str">
        <f>IF(B36&lt;&gt;"FREE",_xlfn.IFERROR(VLOOKUP(B19,database_eurbrv!A40:I52,9,FALSE),"not found in tariff database"),"FREE")&amp;" days"</f>
        <v>10 days</v>
      </c>
      <c r="C22" s="64"/>
      <c r="D22" s="64"/>
    </row>
    <row r="23" spans="1:4" ht="12.75">
      <c r="A23" s="53" t="s">
        <v>91</v>
      </c>
      <c r="B23" s="49" t="str">
        <f>C14-A20&amp;" days"</f>
        <v>15 days</v>
      </c>
      <c r="C23" s="64"/>
      <c r="D23" s="64"/>
    </row>
    <row r="24" spans="1:4" ht="12.75">
      <c r="A24" s="54" t="s">
        <v>83</v>
      </c>
      <c r="B24" s="40"/>
      <c r="C24" s="64"/>
      <c r="D24" s="64"/>
    </row>
    <row r="25" spans="1:4" ht="12.75">
      <c r="A25" s="44" t="s">
        <v>92</v>
      </c>
      <c r="B25" s="45">
        <f>IF(B36&lt;&gt;"FREE",C25+1,"FREE")</f>
        <v>44572</v>
      </c>
      <c r="C25" s="67">
        <f>_xlfn.IFERROR(VLOOKUP(B19,database_eurbrv!A40:J52,10,FALSE),"not found in tariff database")</f>
        <v>44571</v>
      </c>
      <c r="D25" s="64"/>
    </row>
    <row r="26" spans="1:4" ht="12.75">
      <c r="A26" s="44" t="s">
        <v>87</v>
      </c>
      <c r="B26" s="45">
        <f>IF(C26&gt;B14,"x",C26)</f>
        <v>44578</v>
      </c>
      <c r="C26" s="68">
        <f>IF(B36="FREE","FREE",_xlfn.IFERROR(VLOOKUP(B19,database_eurbrv!A40:K52,11,FALSE),"not found in tariff database"))</f>
        <v>44578</v>
      </c>
      <c r="D26" s="64"/>
    </row>
    <row r="27" spans="1:4" ht="12.75">
      <c r="A27" s="55" t="s">
        <v>90</v>
      </c>
      <c r="B27" s="48">
        <f>(B26+1)-B25</f>
        <v>7</v>
      </c>
      <c r="C27" s="68"/>
      <c r="D27" s="64"/>
    </row>
    <row r="28" spans="1:4" ht="12.75">
      <c r="A28" s="46" t="s">
        <v>82</v>
      </c>
      <c r="B28" s="47">
        <f>IF(B36="FREE",0,_xlfn.IFERROR(VLOOKUP(B19,database_eurbrv!A40:O52,15,FALSE),"not found in tariff database"))</f>
        <v>45</v>
      </c>
      <c r="C28" s="68"/>
      <c r="D28" s="64"/>
    </row>
    <row r="29" spans="1:4" ht="12.75">
      <c r="A29" s="51" t="s">
        <v>85</v>
      </c>
      <c r="B29" s="41">
        <f>IF(B36="FREE",0,_xlfn.IFERROR(VLOOKUP(B19,database_eurbrv!A40:L52,12,FALSE),"not found in tariff database"))</f>
        <v>315</v>
      </c>
      <c r="C29" s="64"/>
      <c r="D29" s="64"/>
    </row>
    <row r="30" spans="1:4" ht="12.75">
      <c r="A30" s="56" t="s">
        <v>84</v>
      </c>
      <c r="B30" s="42"/>
      <c r="C30" s="64"/>
      <c r="D30" s="64"/>
    </row>
    <row r="31" spans="1:4" ht="12.75">
      <c r="A31" s="44" t="s">
        <v>92</v>
      </c>
      <c r="B31" s="45">
        <f>IF(OR(B32="x",B32&lt;=B26),"x",B26+1)</f>
        <v>44579</v>
      </c>
      <c r="C31" s="64"/>
      <c r="D31" s="64"/>
    </row>
    <row r="32" spans="1:4" ht="12.75">
      <c r="A32" s="44" t="s">
        <v>87</v>
      </c>
      <c r="B32" s="45">
        <f>IF(B14&lt;=B26,"x",B14)</f>
        <v>44586</v>
      </c>
      <c r="C32" s="64"/>
      <c r="D32" s="64"/>
    </row>
    <row r="33" spans="1:4" ht="12.75">
      <c r="A33" s="55" t="s">
        <v>90</v>
      </c>
      <c r="B33" s="48">
        <f>_xlfn.IFERROR((B32+1)-B31,"x")</f>
        <v>8</v>
      </c>
      <c r="C33" s="64"/>
      <c r="D33" s="64"/>
    </row>
    <row r="34" spans="1:4" ht="12.75">
      <c r="A34" s="46" t="s">
        <v>81</v>
      </c>
      <c r="B34" s="47">
        <f>IF(B36="FREE",0,_xlfn.IFERROR(VLOOKUP(B19,database_eurbrv!A40:P52,16,FALSE),"not found in tariff database"))</f>
        <v>85</v>
      </c>
      <c r="C34" s="64"/>
      <c r="D34" s="64"/>
    </row>
    <row r="35" spans="1:4" ht="13.5" thickBot="1">
      <c r="A35" s="51" t="s">
        <v>86</v>
      </c>
      <c r="B35" s="43">
        <f>_xlfn.IFERROR(VLOOKUP(B19,database_eurbrv!A40:N52,14,FALSE),"not found in tariff database")</f>
        <v>680</v>
      </c>
      <c r="C35" s="64"/>
      <c r="D35" s="64"/>
    </row>
    <row r="36" spans="1:4" ht="16.5" thickBot="1">
      <c r="A36" s="57" t="s">
        <v>99</v>
      </c>
      <c r="B36" s="58">
        <f>IF(B20&gt;0,B20,"FREE")</f>
        <v>995</v>
      </c>
      <c r="C36" s="69"/>
      <c r="D36" s="64"/>
    </row>
    <row r="37" ht="12.75">
      <c r="B37" s="135" t="str">
        <f>CONCATENATE(C15,B15)</f>
        <v>40' standardNein</v>
      </c>
    </row>
    <row r="38" spans="1:2" ht="13.5" thickBot="1">
      <c r="A38" s="135">
        <f>IF(B54&lt;&gt;"FREE",_xlfn.IFERROR(VLOOKUP(B37,database_eurbrv!A56:I67,9,FALSE),"not found in tariff database"),"FREE")</f>
        <v>6</v>
      </c>
      <c r="B38" s="135">
        <f>_xlfn.IFERROR(VLOOKUP(B37,database_eurbrv!A56:H67,8,FALSE),"not found in tariff database")</f>
        <v>375</v>
      </c>
    </row>
    <row r="39" spans="1:2" ht="13.5" thickBot="1">
      <c r="A39" s="78" t="s">
        <v>95</v>
      </c>
      <c r="B39" s="103" t="s">
        <v>117</v>
      </c>
    </row>
    <row r="40" spans="1:2" ht="12.75">
      <c r="A40" s="52" t="s">
        <v>89</v>
      </c>
      <c r="B40" s="50" t="str">
        <f>IF(B54&lt;&gt;"FREE",_xlfn.IFERROR(VLOOKUP(B37,database_eurbrv!A56:I67,9,FALSE),"not found in tariff database"),"FREE")&amp;" days"</f>
        <v>6 days</v>
      </c>
    </row>
    <row r="41" spans="1:2" ht="12.75">
      <c r="A41" s="53" t="s">
        <v>101</v>
      </c>
      <c r="B41" s="49" t="str">
        <f>C13-A38&amp;" days"</f>
        <v>5 days</v>
      </c>
    </row>
    <row r="42" spans="1:2" ht="12.75">
      <c r="A42" s="54" t="s">
        <v>83</v>
      </c>
      <c r="B42" s="40"/>
    </row>
    <row r="43" spans="1:3" ht="12.75">
      <c r="A43" s="44" t="s">
        <v>92</v>
      </c>
      <c r="B43" s="45">
        <f>IF(B54&lt;&gt;"FREE",C43+1,"FREE")</f>
        <v>44582</v>
      </c>
      <c r="C43" s="68">
        <f>_xlfn.IFERROR(VLOOKUP(B37,database_eurbrv!A56:J67,10,FALSE),"not found in tariff database")</f>
        <v>44581</v>
      </c>
    </row>
    <row r="44" spans="1:3" ht="12.75">
      <c r="A44" s="44" t="s">
        <v>87</v>
      </c>
      <c r="B44" s="45">
        <f>IF(C44&gt;B14,"x",C44)</f>
        <v>44586</v>
      </c>
      <c r="C44" s="68">
        <f>IF(B54="FREE","FREE",_xlfn.IFERROR(VLOOKUP(B37,database_eurbrv!A56:K67,11,FALSE),"not found in tariff database"))</f>
        <v>44586</v>
      </c>
    </row>
    <row r="45" spans="1:2" ht="12.75">
      <c r="A45" s="55" t="s">
        <v>90</v>
      </c>
      <c r="B45" s="48">
        <f>(B44+1)-B43</f>
        <v>5</v>
      </c>
    </row>
    <row r="46" spans="1:2" ht="12.75">
      <c r="A46" s="46" t="s">
        <v>82</v>
      </c>
      <c r="B46" s="47">
        <f>IF(B54="FREE",0,_xlfn.IFERROR(VLOOKUP(B37,database_eurbrv!A56:O67,15,FALSE),"not found in tariff database"))</f>
        <v>75</v>
      </c>
    </row>
    <row r="47" spans="1:2" ht="12.75">
      <c r="A47" s="51" t="s">
        <v>85</v>
      </c>
      <c r="B47" s="41">
        <f>IF(B54="FREE",0,_xlfn.IFERROR(VLOOKUP(B37,database_eurbrv!A56:L67,12,FALSE),"not found in tariff database"))</f>
        <v>375</v>
      </c>
    </row>
    <row r="48" spans="1:2" ht="12.75">
      <c r="A48" s="56" t="s">
        <v>84</v>
      </c>
      <c r="B48" s="42"/>
    </row>
    <row r="49" spans="1:2" ht="12.75">
      <c r="A49" s="44" t="s">
        <v>92</v>
      </c>
      <c r="B49" s="45" t="str">
        <f>IF(OR(B50="x",B50&lt;=B44),"x",B44+1)</f>
        <v>x</v>
      </c>
    </row>
    <row r="50" spans="1:2" ht="12.75">
      <c r="A50" s="44" t="s">
        <v>87</v>
      </c>
      <c r="B50" s="155">
        <f>IF(B13&gt;=B44,"x",B14)</f>
        <v>44586</v>
      </c>
    </row>
    <row r="51" spans="1:2" ht="12.75">
      <c r="A51" s="55" t="s">
        <v>90</v>
      </c>
      <c r="B51" s="48" t="str">
        <f>_xlfn.IFERROR((B50+1)-B49,"x")</f>
        <v>x</v>
      </c>
    </row>
    <row r="52" spans="1:2" ht="12.75">
      <c r="A52" s="46" t="s">
        <v>81</v>
      </c>
      <c r="B52" s="47">
        <f>IF(B54="FREE",0,_xlfn.IFERROR(VLOOKUP(B37,database_eurbrv!A56:P67,16,FALSE),"not found in tariff database"))</f>
        <v>150</v>
      </c>
    </row>
    <row r="53" spans="1:2" ht="13.5" thickBot="1">
      <c r="A53" s="51" t="s">
        <v>86</v>
      </c>
      <c r="B53" s="43">
        <f>_xlfn.IFERROR(VLOOKUP(B37,database_eurbrv!A56:N67,14,FALSE),"not found in tariff database")</f>
        <v>0</v>
      </c>
    </row>
    <row r="54" spans="1:2" ht="16.5" thickBot="1">
      <c r="A54" s="57" t="s">
        <v>100</v>
      </c>
      <c r="B54" s="58">
        <f>IF(B38&gt;0,B38,"FREE")</f>
        <v>375</v>
      </c>
    </row>
    <row r="55" ht="12.75"/>
    <row r="56" ht="13.5" thickBot="1"/>
    <row r="57" spans="1:2" ht="13.5" thickBot="1">
      <c r="A57" s="78" t="s">
        <v>104</v>
      </c>
      <c r="B57" s="103" t="s">
        <v>117</v>
      </c>
    </row>
    <row r="58" spans="1:2" ht="12.75">
      <c r="A58" s="52" t="s">
        <v>89</v>
      </c>
      <c r="B58" s="50" t="str">
        <f>IF(B63&lt;&gt;"NOT APPLICABLE","2 days","NOT APPLICABLE")</f>
        <v>NOT APPLICABLE</v>
      </c>
    </row>
    <row r="59" spans="1:3" ht="12.75">
      <c r="A59" s="53" t="s">
        <v>109</v>
      </c>
      <c r="B59" s="49" t="str">
        <f>IF(B63&lt;&gt;"NOT APPLICABLE",(B62-B61)+1&amp;" days","NOT APPLICABLE")</f>
        <v>NOT APPLICABLE</v>
      </c>
      <c r="C59" s="135">
        <f>(B62-B61)+1</f>
        <v>9</v>
      </c>
    </row>
    <row r="60" spans="1:2" ht="12.75">
      <c r="A60" s="54" t="s">
        <v>110</v>
      </c>
      <c r="B60" s="40"/>
    </row>
    <row r="61" spans="1:2" ht="12.75">
      <c r="A61" s="44" t="s">
        <v>92</v>
      </c>
      <c r="B61" s="155">
        <f>B13+3-1</f>
        <v>44578</v>
      </c>
    </row>
    <row r="62" spans="1:2" ht="13.5" thickBot="1">
      <c r="A62" s="44" t="s">
        <v>87</v>
      </c>
      <c r="B62" s="155">
        <f>B14</f>
        <v>44586</v>
      </c>
    </row>
    <row r="63" spans="1:2" ht="16.5" thickBot="1">
      <c r="A63" s="57" t="s">
        <v>139</v>
      </c>
      <c r="B63" s="58" t="str">
        <f>IF(C17="reefer",C59*database_eurbrv!M11,"NOT APPLICABLE")</f>
        <v>NOT APPLICABLE</v>
      </c>
    </row>
    <row r="64" ht="12.75"/>
    <row r="65" spans="1:4" ht="22.5">
      <c r="A65" s="84" t="s">
        <v>52</v>
      </c>
      <c r="B65" s="85" t="s">
        <v>45</v>
      </c>
      <c r="C65" s="66"/>
      <c r="D65" s="66" t="s">
        <v>96</v>
      </c>
    </row>
    <row r="66" spans="1:4" ht="12.75">
      <c r="A66" s="66" t="s">
        <v>53</v>
      </c>
      <c r="B66" s="85" t="s">
        <v>46</v>
      </c>
      <c r="C66" s="66"/>
      <c r="D66" s="66" t="s">
        <v>97</v>
      </c>
    </row>
    <row r="67" spans="1:4" ht="12.75">
      <c r="A67" s="66"/>
      <c r="B67" s="85" t="s">
        <v>47</v>
      </c>
      <c r="C67" s="66"/>
      <c r="D67" s="66"/>
    </row>
    <row r="68" spans="1:4" ht="12.75">
      <c r="A68" s="66"/>
      <c r="B68" s="85" t="s">
        <v>48</v>
      </c>
      <c r="C68" s="66"/>
      <c r="D68" s="66"/>
    </row>
    <row r="69" spans="1:4" ht="12.75">
      <c r="A69" s="66"/>
      <c r="B69" s="85" t="s">
        <v>49</v>
      </c>
      <c r="C69" s="66"/>
      <c r="D69" s="66"/>
    </row>
    <row r="70" spans="1:4" ht="12.75">
      <c r="A70" s="66"/>
      <c r="B70" s="85" t="s">
        <v>50</v>
      </c>
      <c r="C70" s="66"/>
      <c r="D70" s="66"/>
    </row>
  </sheetData>
  <sheetProtection selectLockedCells="1"/>
  <mergeCells count="2">
    <mergeCell ref="A6:D6"/>
    <mergeCell ref="A7:D7"/>
  </mergeCells>
  <dataValidations count="4">
    <dataValidation type="list" allowBlank="1" showInputMessage="1" showErrorMessage="1" sqref="B18">
      <formula1>$A$65:$A$66</formula1>
    </dataValidation>
    <dataValidation type="list" allowBlank="1" showInputMessage="1" showErrorMessage="1" sqref="B17">
      <formula1>$B$65:$B$70</formula1>
    </dataValidation>
    <dataValidation type="list" allowBlank="1" showInputMessage="1" showErrorMessage="1" sqref="B15">
      <formula1>$D$65:$D$66</formula1>
    </dataValidation>
    <dataValidation allowBlank="1" showInputMessage="1" showErrorMessage="1" promptTitle="INPUT FORMAT" prompt="The following formats are accepted:&#10;dd.mm.yy&#10;dd.mm.yyyy&#10;dd/mm/yy&#10;dd/mm/yyyy" sqref="B12:B14"/>
  </dataValidations>
  <hyperlinks>
    <hyperlink ref="B10" r:id="rId1" display="www.hamburgsud-line.com/de_surcharges"/>
    <hyperlink ref="D4" location="Terminal!A1" display="&lt;&lt; BACK"/>
  </hyperlinks>
  <printOptions/>
  <pageMargins left="0.25" right="0.25" top="0.75" bottom="0.75" header="0.3" footer="0.3"/>
  <pageSetup fitToHeight="1" fitToWidth="1" horizontalDpi="600" verticalDpi="600" orientation="portrait" paperSize="9" scale="60" r:id="rId3"/>
  <headerFooter>
    <oddFooter>&amp;L&amp;1#&amp;"Calibri"&amp;10&amp;K000000Classification: 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P71"/>
  <sheetViews>
    <sheetView zoomScale="80" zoomScaleNormal="80" zoomScalePageLayoutView="0" workbookViewId="0" topLeftCell="A1">
      <selection activeCell="J26" sqref="J26"/>
    </sheetView>
  </sheetViews>
  <sheetFormatPr defaultColWidth="22.28125" defaultRowHeight="12.75"/>
  <cols>
    <col min="1" max="2" width="22.28125" style="130" customWidth="1"/>
    <col min="3" max="3" width="15.140625" style="130" bestFit="1" customWidth="1"/>
    <col min="4" max="4" width="16.140625" style="130" bestFit="1" customWidth="1"/>
    <col min="5" max="5" width="15.28125" style="130" bestFit="1" customWidth="1"/>
    <col min="6" max="6" width="12.28125" style="130" bestFit="1" customWidth="1"/>
    <col min="7" max="7" width="18.140625" style="130" bestFit="1" customWidth="1"/>
    <col min="8" max="8" width="22.28125" style="130" customWidth="1"/>
    <col min="9" max="9" width="11.28125" style="130" customWidth="1"/>
    <col min="10" max="10" width="21.00390625" style="130" bestFit="1" customWidth="1"/>
    <col min="11" max="12" width="22.28125" style="130" customWidth="1"/>
    <col min="13" max="13" width="17.8515625" style="130" bestFit="1" customWidth="1"/>
    <col min="14" max="15" width="22.28125" style="130" customWidth="1"/>
    <col min="16" max="16384" width="22.28125" style="130" customWidth="1"/>
  </cols>
  <sheetData>
    <row r="1" spans="1:12" ht="68.25" thickBot="1">
      <c r="A1" s="4" t="s">
        <v>44</v>
      </c>
      <c r="B1" s="5" t="s">
        <v>21</v>
      </c>
      <c r="C1" s="6" t="s">
        <v>22</v>
      </c>
      <c r="D1" s="5" t="s">
        <v>23</v>
      </c>
      <c r="E1" s="5" t="s">
        <v>24</v>
      </c>
      <c r="F1" s="5" t="s">
        <v>25</v>
      </c>
      <c r="G1" s="4" t="s">
        <v>26</v>
      </c>
      <c r="I1" s="21" t="s">
        <v>52</v>
      </c>
      <c r="J1" s="23" t="s">
        <v>45</v>
      </c>
      <c r="L1" s="130" t="s">
        <v>96</v>
      </c>
    </row>
    <row r="2" spans="1:12" ht="24.75" customHeight="1" thickBot="1">
      <c r="A2" s="189" t="s">
        <v>28</v>
      </c>
      <c r="B2" s="190"/>
      <c r="C2" s="190"/>
      <c r="D2" s="190"/>
      <c r="E2" s="190"/>
      <c r="F2" s="190"/>
      <c r="G2" s="191"/>
      <c r="I2" s="22" t="s">
        <v>53</v>
      </c>
      <c r="J2" s="23" t="s">
        <v>46</v>
      </c>
      <c r="L2" s="130" t="s">
        <v>97</v>
      </c>
    </row>
    <row r="3" spans="1:10" ht="12.75">
      <c r="A3" s="7" t="s">
        <v>45</v>
      </c>
      <c r="B3" s="8" t="s">
        <v>30</v>
      </c>
      <c r="C3" s="9" t="s">
        <v>1</v>
      </c>
      <c r="D3" s="10" t="s">
        <v>2</v>
      </c>
      <c r="E3" s="30" t="s">
        <v>3</v>
      </c>
      <c r="F3" s="31">
        <v>44197</v>
      </c>
      <c r="G3" s="16" t="s">
        <v>27</v>
      </c>
      <c r="J3" s="23" t="s">
        <v>47</v>
      </c>
    </row>
    <row r="4" spans="1:10" ht="12.75">
      <c r="A4" s="11" t="s">
        <v>45</v>
      </c>
      <c r="B4" s="1" t="s">
        <v>182</v>
      </c>
      <c r="C4" s="2" t="s">
        <v>1</v>
      </c>
      <c r="D4" s="3" t="s">
        <v>2</v>
      </c>
      <c r="E4" s="32">
        <v>35</v>
      </c>
      <c r="F4" s="33">
        <v>44197</v>
      </c>
      <c r="G4" s="17" t="s">
        <v>27</v>
      </c>
      <c r="J4" s="23" t="s">
        <v>48</v>
      </c>
    </row>
    <row r="5" spans="1:10" ht="13.5" thickBot="1">
      <c r="A5" s="12" t="s">
        <v>45</v>
      </c>
      <c r="B5" s="13" t="s">
        <v>183</v>
      </c>
      <c r="C5" s="14" t="s">
        <v>1</v>
      </c>
      <c r="D5" s="15" t="s">
        <v>2</v>
      </c>
      <c r="E5" s="34">
        <v>55</v>
      </c>
      <c r="F5" s="35">
        <v>44197</v>
      </c>
      <c r="G5" s="18" t="s">
        <v>27</v>
      </c>
      <c r="J5" s="23" t="s">
        <v>49</v>
      </c>
    </row>
    <row r="6" spans="1:10" ht="12.75">
      <c r="A6" s="7" t="s">
        <v>46</v>
      </c>
      <c r="B6" s="8" t="s">
        <v>33</v>
      </c>
      <c r="C6" s="9" t="s">
        <v>1</v>
      </c>
      <c r="D6" s="10" t="s">
        <v>2</v>
      </c>
      <c r="E6" s="30" t="s">
        <v>3</v>
      </c>
      <c r="F6" s="31">
        <v>44197</v>
      </c>
      <c r="G6" s="16" t="s">
        <v>27</v>
      </c>
      <c r="J6" s="23" t="s">
        <v>50</v>
      </c>
    </row>
    <row r="7" spans="1:7" ht="12.75">
      <c r="A7" s="11" t="s">
        <v>46</v>
      </c>
      <c r="B7" s="1" t="s">
        <v>184</v>
      </c>
      <c r="C7" s="2" t="s">
        <v>1</v>
      </c>
      <c r="D7" s="3" t="s">
        <v>2</v>
      </c>
      <c r="E7" s="32">
        <v>45</v>
      </c>
      <c r="F7" s="33">
        <v>44197</v>
      </c>
      <c r="G7" s="17" t="s">
        <v>27</v>
      </c>
    </row>
    <row r="8" spans="1:7" ht="13.5" thickBot="1">
      <c r="A8" s="12" t="s">
        <v>46</v>
      </c>
      <c r="B8" s="13" t="s">
        <v>185</v>
      </c>
      <c r="C8" s="14" t="s">
        <v>1</v>
      </c>
      <c r="D8" s="15" t="s">
        <v>2</v>
      </c>
      <c r="E8" s="34">
        <v>85</v>
      </c>
      <c r="F8" s="35">
        <v>44197</v>
      </c>
      <c r="G8" s="18" t="s">
        <v>27</v>
      </c>
    </row>
    <row r="9" spans="1:7" ht="13.5" thickBot="1">
      <c r="A9" s="7" t="s">
        <v>47</v>
      </c>
      <c r="B9" s="8" t="s">
        <v>186</v>
      </c>
      <c r="C9" s="9" t="s">
        <v>1</v>
      </c>
      <c r="D9" s="10" t="s">
        <v>2</v>
      </c>
      <c r="E9" s="30" t="s">
        <v>3</v>
      </c>
      <c r="F9" s="31">
        <v>44197</v>
      </c>
      <c r="G9" s="16" t="s">
        <v>27</v>
      </c>
    </row>
    <row r="10" spans="1:13" ht="12.75">
      <c r="A10" s="11" t="s">
        <v>47</v>
      </c>
      <c r="B10" s="1" t="s">
        <v>187</v>
      </c>
      <c r="C10" s="2" t="s">
        <v>1</v>
      </c>
      <c r="D10" s="3" t="s">
        <v>2</v>
      </c>
      <c r="E10" s="32">
        <v>75</v>
      </c>
      <c r="F10" s="33">
        <v>44197</v>
      </c>
      <c r="G10" s="17" t="s">
        <v>27</v>
      </c>
      <c r="I10" s="70" t="s">
        <v>93</v>
      </c>
      <c r="J10" s="71"/>
      <c r="L10" s="80" t="s">
        <v>111</v>
      </c>
      <c r="M10" s="71"/>
    </row>
    <row r="11" spans="1:13" ht="13.5" thickBot="1">
      <c r="A11" s="12" t="s">
        <v>47</v>
      </c>
      <c r="B11" s="13" t="s">
        <v>188</v>
      </c>
      <c r="C11" s="14" t="s">
        <v>1</v>
      </c>
      <c r="D11" s="15" t="s">
        <v>2</v>
      </c>
      <c r="E11" s="34">
        <v>111</v>
      </c>
      <c r="F11" s="35">
        <v>44197</v>
      </c>
      <c r="G11" s="18" t="s">
        <v>27</v>
      </c>
      <c r="I11" s="131" t="s">
        <v>54</v>
      </c>
      <c r="J11" s="132"/>
      <c r="L11" s="131" t="s">
        <v>112</v>
      </c>
      <c r="M11" s="132">
        <v>110</v>
      </c>
    </row>
    <row r="12" spans="1:11" ht="13.5" thickBot="1">
      <c r="A12" s="7" t="s">
        <v>48</v>
      </c>
      <c r="B12" s="8" t="s">
        <v>189</v>
      </c>
      <c r="C12" s="9" t="s">
        <v>1</v>
      </c>
      <c r="D12" s="10" t="s">
        <v>2</v>
      </c>
      <c r="E12" s="30" t="s">
        <v>3</v>
      </c>
      <c r="F12" s="31">
        <v>44197</v>
      </c>
      <c r="G12" s="16" t="s">
        <v>27</v>
      </c>
      <c r="H12" s="195" t="s">
        <v>145</v>
      </c>
      <c r="I12" s="107" t="s">
        <v>154</v>
      </c>
      <c r="J12" s="148">
        <v>37.5</v>
      </c>
      <c r="K12" s="147" t="s">
        <v>105</v>
      </c>
    </row>
    <row r="13" spans="1:11" ht="13.5" thickBot="1">
      <c r="A13" s="11" t="s">
        <v>48</v>
      </c>
      <c r="B13" s="1" t="s">
        <v>190</v>
      </c>
      <c r="C13" s="2" t="s">
        <v>1</v>
      </c>
      <c r="D13" s="3" t="s">
        <v>2</v>
      </c>
      <c r="E13" s="32">
        <v>111</v>
      </c>
      <c r="F13" s="33">
        <v>44197</v>
      </c>
      <c r="G13" s="17" t="s">
        <v>27</v>
      </c>
      <c r="H13" s="195"/>
      <c r="I13" s="150" t="s">
        <v>144</v>
      </c>
      <c r="J13" s="149">
        <v>75</v>
      </c>
      <c r="K13" s="151" t="s">
        <v>105</v>
      </c>
    </row>
    <row r="14" spans="1:11" ht="13.5" thickBot="1">
      <c r="A14" s="12" t="s">
        <v>48</v>
      </c>
      <c r="B14" s="13" t="s">
        <v>191</v>
      </c>
      <c r="C14" s="14" t="s">
        <v>1</v>
      </c>
      <c r="D14" s="15" t="s">
        <v>2</v>
      </c>
      <c r="E14" s="34">
        <v>151</v>
      </c>
      <c r="F14" s="35">
        <v>44197</v>
      </c>
      <c r="G14" s="18" t="s">
        <v>27</v>
      </c>
      <c r="H14" s="195"/>
      <c r="I14" s="107" t="s">
        <v>154</v>
      </c>
      <c r="J14" s="146">
        <f>J12*2</f>
        <v>75</v>
      </c>
      <c r="K14" s="152" t="s">
        <v>106</v>
      </c>
    </row>
    <row r="15" spans="1:11" ht="13.5" thickBot="1">
      <c r="A15" s="7" t="s">
        <v>49</v>
      </c>
      <c r="B15" s="8" t="s">
        <v>15</v>
      </c>
      <c r="C15" s="9" t="s">
        <v>1</v>
      </c>
      <c r="D15" s="10" t="s">
        <v>2</v>
      </c>
      <c r="E15" s="30" t="s">
        <v>3</v>
      </c>
      <c r="F15" s="31">
        <v>44197</v>
      </c>
      <c r="G15" s="16" t="s">
        <v>27</v>
      </c>
      <c r="H15" s="195"/>
      <c r="I15" s="150" t="s">
        <v>144</v>
      </c>
      <c r="J15" s="149">
        <f>J13*2</f>
        <v>150</v>
      </c>
      <c r="K15" s="151" t="s">
        <v>106</v>
      </c>
    </row>
    <row r="16" spans="1:11" ht="13.5" thickBot="1">
      <c r="A16" s="11" t="s">
        <v>49</v>
      </c>
      <c r="B16" s="1" t="s">
        <v>192</v>
      </c>
      <c r="C16" s="2" t="s">
        <v>1</v>
      </c>
      <c r="D16" s="3" t="s">
        <v>2</v>
      </c>
      <c r="E16" s="32">
        <v>75</v>
      </c>
      <c r="F16" s="33">
        <v>44197</v>
      </c>
      <c r="G16" s="17" t="s">
        <v>27</v>
      </c>
      <c r="H16" s="195" t="s">
        <v>130</v>
      </c>
      <c r="I16" s="107" t="s">
        <v>155</v>
      </c>
      <c r="J16" s="148">
        <v>75</v>
      </c>
      <c r="K16" s="147" t="s">
        <v>105</v>
      </c>
    </row>
    <row r="17" spans="1:11" ht="13.5" thickBot="1">
      <c r="A17" s="12" t="s">
        <v>49</v>
      </c>
      <c r="B17" s="13" t="s">
        <v>193</v>
      </c>
      <c r="C17" s="14" t="s">
        <v>1</v>
      </c>
      <c r="D17" s="15" t="s">
        <v>2</v>
      </c>
      <c r="E17" s="34">
        <v>95</v>
      </c>
      <c r="F17" s="35">
        <v>44197</v>
      </c>
      <c r="G17" s="18" t="s">
        <v>27</v>
      </c>
      <c r="H17" s="195"/>
      <c r="I17" s="150" t="s">
        <v>137</v>
      </c>
      <c r="J17" s="149">
        <v>150</v>
      </c>
      <c r="K17" s="151" t="s">
        <v>105</v>
      </c>
    </row>
    <row r="18" spans="1:11" ht="13.5" thickBot="1">
      <c r="A18" s="7" t="s">
        <v>50</v>
      </c>
      <c r="B18" s="8" t="s">
        <v>18</v>
      </c>
      <c r="C18" s="9" t="s">
        <v>1</v>
      </c>
      <c r="D18" s="10" t="s">
        <v>2</v>
      </c>
      <c r="E18" s="30" t="s">
        <v>3</v>
      </c>
      <c r="F18" s="31">
        <v>44197</v>
      </c>
      <c r="G18" s="16" t="s">
        <v>27</v>
      </c>
      <c r="H18" s="195"/>
      <c r="I18" s="107" t="s">
        <v>155</v>
      </c>
      <c r="J18" s="146">
        <f>J16*2</f>
        <v>150</v>
      </c>
      <c r="K18" s="147" t="s">
        <v>106</v>
      </c>
    </row>
    <row r="19" spans="1:11" ht="13.5" thickBot="1">
      <c r="A19" s="11" t="s">
        <v>50</v>
      </c>
      <c r="B19" s="1" t="s">
        <v>194</v>
      </c>
      <c r="C19" s="2" t="s">
        <v>1</v>
      </c>
      <c r="D19" s="3" t="s">
        <v>2</v>
      </c>
      <c r="E19" s="32">
        <v>95</v>
      </c>
      <c r="F19" s="33">
        <v>44197</v>
      </c>
      <c r="G19" s="17" t="s">
        <v>27</v>
      </c>
      <c r="H19" s="195"/>
      <c r="I19" s="150" t="s">
        <v>137</v>
      </c>
      <c r="J19" s="149">
        <f>J17*2</f>
        <v>300</v>
      </c>
      <c r="K19" s="151" t="s">
        <v>106</v>
      </c>
    </row>
    <row r="20" spans="1:11" ht="13.5" thickBot="1">
      <c r="A20" s="12" t="s">
        <v>50</v>
      </c>
      <c r="B20" s="13" t="s">
        <v>195</v>
      </c>
      <c r="C20" s="14" t="s">
        <v>1</v>
      </c>
      <c r="D20" s="15" t="s">
        <v>2</v>
      </c>
      <c r="E20" s="34">
        <v>140</v>
      </c>
      <c r="F20" s="35">
        <v>44197</v>
      </c>
      <c r="G20" s="18" t="s">
        <v>27</v>
      </c>
      <c r="H20" s="195" t="s">
        <v>138</v>
      </c>
      <c r="I20" s="107" t="s">
        <v>156</v>
      </c>
      <c r="J20" s="148">
        <v>75</v>
      </c>
      <c r="K20" s="152" t="s">
        <v>105</v>
      </c>
    </row>
    <row r="21" spans="1:11" ht="13.5" thickBot="1">
      <c r="A21" s="192" t="s">
        <v>29</v>
      </c>
      <c r="B21" s="193"/>
      <c r="C21" s="193"/>
      <c r="D21" s="193"/>
      <c r="E21" s="193"/>
      <c r="F21" s="193"/>
      <c r="G21" s="194"/>
      <c r="H21" s="195"/>
      <c r="I21" s="150" t="s">
        <v>157</v>
      </c>
      <c r="J21" s="149">
        <v>150</v>
      </c>
      <c r="K21" s="151" t="s">
        <v>105</v>
      </c>
    </row>
    <row r="22" spans="1:11" ht="13.5" thickBot="1">
      <c r="A22" s="109" t="s">
        <v>45</v>
      </c>
      <c r="B22" s="110" t="s">
        <v>30</v>
      </c>
      <c r="C22" s="111" t="s">
        <v>1</v>
      </c>
      <c r="D22" s="112" t="s">
        <v>2</v>
      </c>
      <c r="E22" s="113" t="s">
        <v>3</v>
      </c>
      <c r="F22" s="114">
        <v>41275</v>
      </c>
      <c r="G22" s="115" t="s">
        <v>27</v>
      </c>
      <c r="H22" s="195"/>
      <c r="I22" s="107" t="s">
        <v>156</v>
      </c>
      <c r="J22" s="146">
        <f>J20*2</f>
        <v>150</v>
      </c>
      <c r="K22" s="147" t="s">
        <v>106</v>
      </c>
    </row>
    <row r="23" spans="1:11" ht="13.5" thickBot="1">
      <c r="A23" s="116" t="s">
        <v>45</v>
      </c>
      <c r="B23" s="117" t="s">
        <v>31</v>
      </c>
      <c r="C23" s="118" t="s">
        <v>1</v>
      </c>
      <c r="D23" s="119" t="s">
        <v>2</v>
      </c>
      <c r="E23" s="120">
        <v>10</v>
      </c>
      <c r="F23" s="121">
        <v>41275</v>
      </c>
      <c r="G23" s="122" t="s">
        <v>27</v>
      </c>
      <c r="H23" s="195"/>
      <c r="I23" s="150" t="s">
        <v>157</v>
      </c>
      <c r="J23" s="149">
        <f>J21*2</f>
        <v>300</v>
      </c>
      <c r="K23" s="151" t="s">
        <v>106</v>
      </c>
    </row>
    <row r="24" spans="1:11" ht="13.5" thickBot="1">
      <c r="A24" s="123" t="s">
        <v>45</v>
      </c>
      <c r="B24" s="124" t="s">
        <v>32</v>
      </c>
      <c r="C24" s="125" t="s">
        <v>1</v>
      </c>
      <c r="D24" s="126" t="s">
        <v>2</v>
      </c>
      <c r="E24" s="127">
        <v>20</v>
      </c>
      <c r="F24" s="128">
        <v>41275</v>
      </c>
      <c r="G24" s="129" t="s">
        <v>27</v>
      </c>
      <c r="H24" s="195" t="s">
        <v>108</v>
      </c>
      <c r="I24" s="107" t="s">
        <v>156</v>
      </c>
      <c r="J24" s="148">
        <v>56.25</v>
      </c>
      <c r="K24" s="152" t="s">
        <v>105</v>
      </c>
    </row>
    <row r="25" spans="1:11" ht="13.5" thickBot="1">
      <c r="A25" s="109" t="s">
        <v>46</v>
      </c>
      <c r="B25" s="110" t="s">
        <v>33</v>
      </c>
      <c r="C25" s="111" t="s">
        <v>1</v>
      </c>
      <c r="D25" s="112" t="s">
        <v>2</v>
      </c>
      <c r="E25" s="113" t="s">
        <v>3</v>
      </c>
      <c r="F25" s="114">
        <v>41275</v>
      </c>
      <c r="G25" s="115" t="s">
        <v>27</v>
      </c>
      <c r="H25" s="195"/>
      <c r="I25" s="150" t="s">
        <v>157</v>
      </c>
      <c r="J25" s="149">
        <v>112.5</v>
      </c>
      <c r="K25" s="151" t="s">
        <v>105</v>
      </c>
    </row>
    <row r="26" spans="1:11" ht="13.5" thickBot="1">
      <c r="A26" s="116" t="s">
        <v>46</v>
      </c>
      <c r="B26" s="117" t="s">
        <v>34</v>
      </c>
      <c r="C26" s="118" t="s">
        <v>1</v>
      </c>
      <c r="D26" s="119" t="s">
        <v>2</v>
      </c>
      <c r="E26" s="120">
        <v>20</v>
      </c>
      <c r="F26" s="121">
        <v>41275</v>
      </c>
      <c r="G26" s="122" t="s">
        <v>27</v>
      </c>
      <c r="H26" s="195"/>
      <c r="I26" s="107" t="s">
        <v>156</v>
      </c>
      <c r="J26" s="146">
        <f>J24*2</f>
        <v>112.5</v>
      </c>
      <c r="K26" s="147" t="s">
        <v>106</v>
      </c>
    </row>
    <row r="27" spans="1:11" ht="13.5" thickBot="1">
      <c r="A27" s="123" t="s">
        <v>46</v>
      </c>
      <c r="B27" s="124" t="s">
        <v>35</v>
      </c>
      <c r="C27" s="125" t="s">
        <v>1</v>
      </c>
      <c r="D27" s="126" t="s">
        <v>2</v>
      </c>
      <c r="E27" s="127">
        <v>30</v>
      </c>
      <c r="F27" s="128">
        <v>41275</v>
      </c>
      <c r="G27" s="129" t="s">
        <v>27</v>
      </c>
      <c r="H27" s="195"/>
      <c r="I27" s="150" t="s">
        <v>157</v>
      </c>
      <c r="J27" s="149">
        <f>J25*2</f>
        <v>225</v>
      </c>
      <c r="K27" s="151" t="s">
        <v>106</v>
      </c>
    </row>
    <row r="28" spans="1:7" ht="12.75">
      <c r="A28" s="109" t="s">
        <v>47</v>
      </c>
      <c r="B28" s="110" t="s">
        <v>36</v>
      </c>
      <c r="C28" s="111" t="s">
        <v>1</v>
      </c>
      <c r="D28" s="112" t="s">
        <v>2</v>
      </c>
      <c r="E28" s="113" t="s">
        <v>3</v>
      </c>
      <c r="F28" s="114">
        <v>41275</v>
      </c>
      <c r="G28" s="115" t="s">
        <v>27</v>
      </c>
    </row>
    <row r="29" spans="1:7" ht="12.75">
      <c r="A29" s="116" t="s">
        <v>47</v>
      </c>
      <c r="B29" s="117" t="s">
        <v>37</v>
      </c>
      <c r="C29" s="118" t="s">
        <v>1</v>
      </c>
      <c r="D29" s="119" t="s">
        <v>2</v>
      </c>
      <c r="E29" s="120">
        <v>70</v>
      </c>
      <c r="F29" s="121">
        <v>41275</v>
      </c>
      <c r="G29" s="122" t="s">
        <v>27</v>
      </c>
    </row>
    <row r="30" spans="1:7" ht="13.5" thickBot="1">
      <c r="A30" s="123" t="s">
        <v>47</v>
      </c>
      <c r="B30" s="124" t="s">
        <v>11</v>
      </c>
      <c r="C30" s="125" t="s">
        <v>1</v>
      </c>
      <c r="D30" s="126" t="s">
        <v>2</v>
      </c>
      <c r="E30" s="127">
        <v>90</v>
      </c>
      <c r="F30" s="128">
        <v>41275</v>
      </c>
      <c r="G30" s="129" t="s">
        <v>27</v>
      </c>
    </row>
    <row r="31" spans="1:7" ht="12.75">
      <c r="A31" s="109" t="s">
        <v>48</v>
      </c>
      <c r="B31" s="110" t="s">
        <v>38</v>
      </c>
      <c r="C31" s="111" t="s">
        <v>1</v>
      </c>
      <c r="D31" s="112" t="s">
        <v>2</v>
      </c>
      <c r="E31" s="113" t="s">
        <v>3</v>
      </c>
      <c r="F31" s="114">
        <v>41275</v>
      </c>
      <c r="G31" s="115" t="s">
        <v>27</v>
      </c>
    </row>
    <row r="32" spans="1:7" ht="12.75">
      <c r="A32" s="116" t="s">
        <v>48</v>
      </c>
      <c r="B32" s="117" t="s">
        <v>39</v>
      </c>
      <c r="C32" s="118" t="s">
        <v>1</v>
      </c>
      <c r="D32" s="119" t="s">
        <v>2</v>
      </c>
      <c r="E32" s="120">
        <v>75</v>
      </c>
      <c r="F32" s="121">
        <v>41275</v>
      </c>
      <c r="G32" s="122" t="s">
        <v>27</v>
      </c>
    </row>
    <row r="33" spans="1:7" ht="13.5" thickBot="1">
      <c r="A33" s="123" t="s">
        <v>48</v>
      </c>
      <c r="B33" s="124" t="s">
        <v>14</v>
      </c>
      <c r="C33" s="125" t="s">
        <v>1</v>
      </c>
      <c r="D33" s="126" t="s">
        <v>2</v>
      </c>
      <c r="E33" s="127">
        <v>115</v>
      </c>
      <c r="F33" s="128">
        <v>41275</v>
      </c>
      <c r="G33" s="129" t="s">
        <v>27</v>
      </c>
    </row>
    <row r="34" spans="1:7" ht="12.75">
      <c r="A34" s="109" t="s">
        <v>49</v>
      </c>
      <c r="B34" s="110" t="s">
        <v>40</v>
      </c>
      <c r="C34" s="111" t="s">
        <v>1</v>
      </c>
      <c r="D34" s="112" t="s">
        <v>2</v>
      </c>
      <c r="E34" s="113" t="s">
        <v>3</v>
      </c>
      <c r="F34" s="114">
        <v>41275</v>
      </c>
      <c r="G34" s="115" t="s">
        <v>27</v>
      </c>
    </row>
    <row r="35" spans="1:7" ht="13.5" thickBot="1">
      <c r="A35" s="123" t="s">
        <v>49</v>
      </c>
      <c r="B35" s="124" t="s">
        <v>41</v>
      </c>
      <c r="C35" s="125" t="s">
        <v>1</v>
      </c>
      <c r="D35" s="126" t="s">
        <v>2</v>
      </c>
      <c r="E35" s="127">
        <v>40</v>
      </c>
      <c r="F35" s="128">
        <v>41275</v>
      </c>
      <c r="G35" s="129" t="s">
        <v>27</v>
      </c>
    </row>
    <row r="36" spans="1:7" ht="12.75">
      <c r="A36" s="109" t="s">
        <v>50</v>
      </c>
      <c r="B36" s="110" t="s">
        <v>42</v>
      </c>
      <c r="C36" s="111" t="s">
        <v>1</v>
      </c>
      <c r="D36" s="112" t="s">
        <v>2</v>
      </c>
      <c r="E36" s="113" t="s">
        <v>3</v>
      </c>
      <c r="F36" s="114">
        <v>41275</v>
      </c>
      <c r="G36" s="115" t="s">
        <v>27</v>
      </c>
    </row>
    <row r="37" spans="1:7" ht="13.5" thickBot="1">
      <c r="A37" s="123" t="s">
        <v>50</v>
      </c>
      <c r="B37" s="124" t="s">
        <v>43</v>
      </c>
      <c r="C37" s="125" t="s">
        <v>1</v>
      </c>
      <c r="D37" s="126" t="s">
        <v>2</v>
      </c>
      <c r="E37" s="127">
        <v>70</v>
      </c>
      <c r="F37" s="128">
        <v>41275</v>
      </c>
      <c r="G37" s="129" t="s">
        <v>27</v>
      </c>
    </row>
    <row r="39" ht="12.75">
      <c r="A39" s="139" t="s">
        <v>98</v>
      </c>
    </row>
    <row r="40" spans="1:16" ht="12.75">
      <c r="A40" s="27" t="s">
        <v>61</v>
      </c>
      <c r="B40" s="136" t="s">
        <v>62</v>
      </c>
      <c r="C40" s="136" t="s">
        <v>63</v>
      </c>
      <c r="D40" s="136" t="s">
        <v>64</v>
      </c>
      <c r="E40" s="136" t="s">
        <v>65</v>
      </c>
      <c r="F40" s="136" t="s">
        <v>67</v>
      </c>
      <c r="G40" s="136" t="s">
        <v>68</v>
      </c>
      <c r="H40" s="136" t="s">
        <v>66</v>
      </c>
      <c r="I40" s="136" t="s">
        <v>75</v>
      </c>
      <c r="J40" s="136" t="s">
        <v>77</v>
      </c>
      <c r="K40" s="136" t="s">
        <v>78</v>
      </c>
      <c r="L40" s="37" t="s">
        <v>79</v>
      </c>
      <c r="M40" s="138" t="s">
        <v>80</v>
      </c>
      <c r="N40" s="138" t="s">
        <v>76</v>
      </c>
      <c r="O40" s="138" t="s">
        <v>82</v>
      </c>
      <c r="P40" s="138" t="s">
        <v>81</v>
      </c>
    </row>
    <row r="41" spans="1:16" ht="34.5" thickBot="1">
      <c r="A41" s="25" t="s">
        <v>55</v>
      </c>
      <c r="B41" s="26">
        <f>calculator_eurbrv!$C$14</f>
        <v>25</v>
      </c>
      <c r="C41" s="26">
        <f aca="true" t="shared" si="0" ref="C41:C52">B41-I41</f>
        <v>15</v>
      </c>
      <c r="D41" s="26">
        <f aca="true" t="shared" si="1" ref="D41:D46">C41-7</f>
        <v>8</v>
      </c>
      <c r="E41" s="26">
        <f aca="true" t="shared" si="2" ref="E41:E52">IF(D41&gt;=0,C41-D41,0)</f>
        <v>7</v>
      </c>
      <c r="F41" s="26">
        <f>IF(D41&lt;=0,C41*E4,0)</f>
        <v>0</v>
      </c>
      <c r="G41" s="26">
        <f>IF(D41&gt;=1,D41*E5+M41,0)</f>
        <v>685</v>
      </c>
      <c r="H41" s="26">
        <f aca="true" t="shared" si="3" ref="H41:H52">F41+G41</f>
        <v>685</v>
      </c>
      <c r="I41" s="134">
        <v>10</v>
      </c>
      <c r="J41" s="137">
        <f>calculator_eurbrv!$B$12+database_eurbrv!I41-1</f>
        <v>44571</v>
      </c>
      <c r="K41" s="137">
        <f>IF(E41=0,database_eurbrv!J41+database_eurbrv!C41,database_eurbrv!J41+database_eurbrv!E41)</f>
        <v>44578</v>
      </c>
      <c r="L41" s="134">
        <f>IF(F41=0,M41,F41)</f>
        <v>245</v>
      </c>
      <c r="M41" s="134">
        <f>E4*7</f>
        <v>245</v>
      </c>
      <c r="N41" s="134">
        <f>IF(G41=0,G41,G41-M41)</f>
        <v>440</v>
      </c>
      <c r="O41" s="39">
        <f>E4</f>
        <v>35</v>
      </c>
      <c r="P41" s="39">
        <f>E5</f>
        <v>55</v>
      </c>
    </row>
    <row r="42" spans="1:16" ht="34.5" thickBot="1">
      <c r="A42" s="7" t="s">
        <v>56</v>
      </c>
      <c r="B42" s="134">
        <f>calculator_eurbrv!$C$14</f>
        <v>25</v>
      </c>
      <c r="C42" s="134">
        <f t="shared" si="0"/>
        <v>15</v>
      </c>
      <c r="D42" s="134">
        <f t="shared" si="1"/>
        <v>8</v>
      </c>
      <c r="E42" s="134">
        <f t="shared" si="2"/>
        <v>7</v>
      </c>
      <c r="F42" s="134">
        <f>IF(D42&lt;=0,C42*E7,0)</f>
        <v>0</v>
      </c>
      <c r="G42" s="134">
        <f>IF(D42&gt;=1,D42*E8+M42,0)</f>
        <v>995</v>
      </c>
      <c r="H42" s="134">
        <f t="shared" si="3"/>
        <v>995</v>
      </c>
      <c r="I42" s="134">
        <v>10</v>
      </c>
      <c r="J42" s="137">
        <f>calculator_eurbrv!$B$12+database_eurbrv!I42-1</f>
        <v>44571</v>
      </c>
      <c r="K42" s="137">
        <f>IF(E42=0,database_eurbrv!J42+database_eurbrv!C42,database_eurbrv!J42+database_eurbrv!E42)</f>
        <v>44578</v>
      </c>
      <c r="L42" s="134">
        <f aca="true" t="shared" si="4" ref="L42:L50">IF(F42=0,M42,F42)</f>
        <v>315</v>
      </c>
      <c r="M42" s="134">
        <f>E7*7</f>
        <v>315</v>
      </c>
      <c r="N42" s="134">
        <f aca="true" t="shared" si="5" ref="N42:N50">IF(G42=0,G42,G42-M42)</f>
        <v>680</v>
      </c>
      <c r="O42" s="39">
        <f>E7</f>
        <v>45</v>
      </c>
      <c r="P42" s="39">
        <f>E8</f>
        <v>85</v>
      </c>
    </row>
    <row r="43" spans="1:16" ht="34.5" thickBot="1">
      <c r="A43" s="7" t="s">
        <v>57</v>
      </c>
      <c r="B43" s="134">
        <f>calculator_eurbrv!$C$14</f>
        <v>25</v>
      </c>
      <c r="C43" s="134">
        <f t="shared" si="0"/>
        <v>18</v>
      </c>
      <c r="D43" s="134">
        <f t="shared" si="1"/>
        <v>11</v>
      </c>
      <c r="E43" s="134">
        <f t="shared" si="2"/>
        <v>7</v>
      </c>
      <c r="F43" s="134">
        <f>IF(D43&lt;=0,C43*E10,0)</f>
        <v>0</v>
      </c>
      <c r="G43" s="134">
        <f>IF(D43&gt;=1,D43*E11+M43,0)</f>
        <v>1746</v>
      </c>
      <c r="H43" s="134">
        <f t="shared" si="3"/>
        <v>1746</v>
      </c>
      <c r="I43" s="134">
        <v>7</v>
      </c>
      <c r="J43" s="137">
        <f>calculator_eurbrv!$B$12+database_eurbrv!I43-1</f>
        <v>44568</v>
      </c>
      <c r="K43" s="137">
        <f>IF(E43=0,database_eurbrv!J43+database_eurbrv!C43,database_eurbrv!J43+database_eurbrv!E43)</f>
        <v>44575</v>
      </c>
      <c r="L43" s="134">
        <f t="shared" si="4"/>
        <v>525</v>
      </c>
      <c r="M43" s="134">
        <f>E10*7</f>
        <v>525</v>
      </c>
      <c r="N43" s="134">
        <f t="shared" si="5"/>
        <v>1221</v>
      </c>
      <c r="O43" s="39">
        <f>E10</f>
        <v>75</v>
      </c>
      <c r="P43" s="39">
        <f>E11</f>
        <v>111</v>
      </c>
    </row>
    <row r="44" spans="1:16" ht="34.5" thickBot="1">
      <c r="A44" s="7" t="s">
        <v>58</v>
      </c>
      <c r="B44" s="134">
        <f>calculator_eurbrv!$C$14</f>
        <v>25</v>
      </c>
      <c r="C44" s="134">
        <f t="shared" si="0"/>
        <v>18</v>
      </c>
      <c r="D44" s="134">
        <f t="shared" si="1"/>
        <v>11</v>
      </c>
      <c r="E44" s="134">
        <f t="shared" si="2"/>
        <v>7</v>
      </c>
      <c r="F44" s="134">
        <f>IF(D44&lt;=0,C44*E13,0)</f>
        <v>0</v>
      </c>
      <c r="G44" s="134">
        <f>IF(D44&gt;=1,D44*E14+M44,0)</f>
        <v>2438</v>
      </c>
      <c r="H44" s="134">
        <f t="shared" si="3"/>
        <v>2438</v>
      </c>
      <c r="I44" s="134">
        <v>7</v>
      </c>
      <c r="J44" s="137">
        <f>calculator_eurbrv!$B$12+database_eurbrv!I44-1</f>
        <v>44568</v>
      </c>
      <c r="K44" s="137">
        <f>IF(E44=0,database_eurbrv!J44+database_eurbrv!C44,database_eurbrv!J44+database_eurbrv!E44)</f>
        <v>44575</v>
      </c>
      <c r="L44" s="134">
        <f t="shared" si="4"/>
        <v>777</v>
      </c>
      <c r="M44" s="134">
        <f>E13*7</f>
        <v>777</v>
      </c>
      <c r="N44" s="134">
        <f t="shared" si="5"/>
        <v>1661</v>
      </c>
      <c r="O44" s="39">
        <f>E13</f>
        <v>111</v>
      </c>
      <c r="P44" s="39">
        <f>E14</f>
        <v>151</v>
      </c>
    </row>
    <row r="45" spans="1:16" ht="34.5" thickBot="1">
      <c r="A45" s="7" t="s">
        <v>60</v>
      </c>
      <c r="B45" s="134">
        <f>calculator_eurbrv!$C$14</f>
        <v>25</v>
      </c>
      <c r="C45" s="134">
        <f t="shared" si="0"/>
        <v>18</v>
      </c>
      <c r="D45" s="134">
        <f t="shared" si="1"/>
        <v>11</v>
      </c>
      <c r="E45" s="134">
        <f t="shared" si="2"/>
        <v>7</v>
      </c>
      <c r="F45" s="134">
        <f>IF(D45&lt;=0,C45*E16,0)</f>
        <v>0</v>
      </c>
      <c r="G45" s="134">
        <f>IF(D45&gt;=1,D45*E17+M45,0)</f>
        <v>1570</v>
      </c>
      <c r="H45" s="134">
        <f t="shared" si="3"/>
        <v>1570</v>
      </c>
      <c r="I45" s="134">
        <v>7</v>
      </c>
      <c r="J45" s="137">
        <f>calculator_eurbrv!$B$12+database_eurbrv!I45-1</f>
        <v>44568</v>
      </c>
      <c r="K45" s="137">
        <f>IF(E45=0,database_eurbrv!J45+database_eurbrv!C45,database_eurbrv!J45+database_eurbrv!E45)</f>
        <v>44575</v>
      </c>
      <c r="L45" s="134">
        <f t="shared" si="4"/>
        <v>525</v>
      </c>
      <c r="M45" s="134">
        <f>E16*7</f>
        <v>525</v>
      </c>
      <c r="N45" s="134">
        <f t="shared" si="5"/>
        <v>1045</v>
      </c>
      <c r="O45" s="39">
        <f>E16</f>
        <v>75</v>
      </c>
      <c r="P45" s="39">
        <f>E17</f>
        <v>95</v>
      </c>
    </row>
    <row r="46" spans="1:16" ht="33.75">
      <c r="A46" s="7" t="s">
        <v>59</v>
      </c>
      <c r="B46" s="134">
        <f>calculator_eurbrv!$C$14</f>
        <v>25</v>
      </c>
      <c r="C46" s="134">
        <f t="shared" si="0"/>
        <v>18</v>
      </c>
      <c r="D46" s="134">
        <f t="shared" si="1"/>
        <v>11</v>
      </c>
      <c r="E46" s="134">
        <f t="shared" si="2"/>
        <v>7</v>
      </c>
      <c r="F46" s="134">
        <f>IF(D46&lt;=0,C46*E19,0)</f>
        <v>0</v>
      </c>
      <c r="G46" s="134">
        <f>IF(D46&gt;=1,D46*E20+M46,0)</f>
        <v>2205</v>
      </c>
      <c r="H46" s="134">
        <f t="shared" si="3"/>
        <v>2205</v>
      </c>
      <c r="I46" s="134">
        <v>7</v>
      </c>
      <c r="J46" s="137">
        <f>calculator_eurbrv!$B$12+database_eurbrv!I46-1</f>
        <v>44568</v>
      </c>
      <c r="K46" s="137">
        <f>IF(E46=0,database_eurbrv!J46+database_eurbrv!C46,database_eurbrv!J46+database_eurbrv!E46)</f>
        <v>44575</v>
      </c>
      <c r="L46" s="134">
        <f t="shared" si="4"/>
        <v>665</v>
      </c>
      <c r="M46" s="134">
        <f>E19*7</f>
        <v>665</v>
      </c>
      <c r="N46" s="134">
        <f t="shared" si="5"/>
        <v>1540</v>
      </c>
      <c r="O46" s="39">
        <f>E19</f>
        <v>95</v>
      </c>
      <c r="P46" s="39">
        <f>E20</f>
        <v>140</v>
      </c>
    </row>
    <row r="47" spans="1:16" s="94" customFormat="1" ht="56.25" hidden="1">
      <c r="A47" s="95" t="s">
        <v>69</v>
      </c>
      <c r="B47" s="96">
        <f>calculator_eurbrv!$C$14</f>
        <v>25</v>
      </c>
      <c r="C47" s="96">
        <f t="shared" si="0"/>
        <v>15</v>
      </c>
      <c r="D47" s="96">
        <f>C47-15</f>
        <v>0</v>
      </c>
      <c r="E47" s="96">
        <f t="shared" si="2"/>
        <v>15</v>
      </c>
      <c r="F47" s="96">
        <f>IF(D47&lt;=0,C47*E23,0)</f>
        <v>150</v>
      </c>
      <c r="G47" s="96">
        <f>IF(D47&gt;=1,D47*E24+M47,0)</f>
        <v>0</v>
      </c>
      <c r="H47" s="96">
        <f t="shared" si="3"/>
        <v>150</v>
      </c>
      <c r="I47" s="96">
        <v>10</v>
      </c>
      <c r="J47" s="97">
        <f>calculator_eurbrv!$B$12+database_eurbrv!I47-1</f>
        <v>44571</v>
      </c>
      <c r="K47" s="97">
        <f>IF(E47=0,database_eurbrv!J47+database_eurbrv!C47,database_eurbrv!J47+database_eurbrv!E47)</f>
        <v>44586</v>
      </c>
      <c r="L47" s="96">
        <f t="shared" si="4"/>
        <v>150</v>
      </c>
      <c r="M47" s="96">
        <f>E23*15</f>
        <v>150</v>
      </c>
      <c r="N47" s="96">
        <f t="shared" si="5"/>
        <v>0</v>
      </c>
      <c r="O47" s="98">
        <f>E23</f>
        <v>10</v>
      </c>
      <c r="P47" s="98">
        <f>E24</f>
        <v>20</v>
      </c>
    </row>
    <row r="48" spans="1:16" s="94" customFormat="1" ht="56.25" hidden="1">
      <c r="A48" s="99" t="s">
        <v>70</v>
      </c>
      <c r="B48" s="96">
        <f>calculator_eurbrv!$C$14</f>
        <v>25</v>
      </c>
      <c r="C48" s="96">
        <f t="shared" si="0"/>
        <v>15</v>
      </c>
      <c r="D48" s="96">
        <f>C48-15</f>
        <v>0</v>
      </c>
      <c r="E48" s="96">
        <f t="shared" si="2"/>
        <v>15</v>
      </c>
      <c r="F48" s="96">
        <f>IF(D48&lt;=0,C48*E26,0)</f>
        <v>300</v>
      </c>
      <c r="G48" s="96">
        <f>IF(D48&gt;=1,D48*E27+M48,0)</f>
        <v>0</v>
      </c>
      <c r="H48" s="96">
        <f t="shared" si="3"/>
        <v>300</v>
      </c>
      <c r="I48" s="96">
        <v>10</v>
      </c>
      <c r="J48" s="97">
        <f>calculator_eurbrv!$B$12+database_eurbrv!I48-1</f>
        <v>44571</v>
      </c>
      <c r="K48" s="97">
        <f>IF(E48=0,database_eurbrv!J48+database_eurbrv!C48,database_eurbrv!J48+database_eurbrv!E48)</f>
        <v>44586</v>
      </c>
      <c r="L48" s="96">
        <f t="shared" si="4"/>
        <v>300</v>
      </c>
      <c r="M48" s="96">
        <f>E26*15</f>
        <v>300</v>
      </c>
      <c r="N48" s="96">
        <f t="shared" si="5"/>
        <v>0</v>
      </c>
      <c r="O48" s="98">
        <f>E26</f>
        <v>20</v>
      </c>
      <c r="P48" s="98">
        <f>E27</f>
        <v>30</v>
      </c>
    </row>
    <row r="49" spans="1:16" s="94" customFormat="1" ht="56.25" hidden="1">
      <c r="A49" s="99" t="s">
        <v>71</v>
      </c>
      <c r="B49" s="100">
        <f>calculator_eurbrv!$C$14</f>
        <v>25</v>
      </c>
      <c r="C49" s="100">
        <f t="shared" si="0"/>
        <v>20</v>
      </c>
      <c r="D49" s="100">
        <f>C49-5</f>
        <v>15</v>
      </c>
      <c r="E49" s="100">
        <f t="shared" si="2"/>
        <v>5</v>
      </c>
      <c r="F49" s="100">
        <f>IF(D49&lt;=0,C49*E29,0)</f>
        <v>0</v>
      </c>
      <c r="G49" s="100">
        <f>IF(D49&gt;=1,D49*E30+M49,0)</f>
        <v>1700</v>
      </c>
      <c r="H49" s="100">
        <f t="shared" si="3"/>
        <v>1700</v>
      </c>
      <c r="I49" s="96">
        <v>5</v>
      </c>
      <c r="J49" s="97">
        <f>calculator_eurbrv!$B$12+database_eurbrv!I49-1</f>
        <v>44566</v>
      </c>
      <c r="K49" s="97">
        <f>IF(E49=0,database_eurbrv!J49+database_eurbrv!C49,database_eurbrv!J49+database_eurbrv!E49)</f>
        <v>44571</v>
      </c>
      <c r="L49" s="96">
        <f t="shared" si="4"/>
        <v>350</v>
      </c>
      <c r="M49" s="96">
        <f>E29*5</f>
        <v>350</v>
      </c>
      <c r="N49" s="96">
        <f t="shared" si="5"/>
        <v>1350</v>
      </c>
      <c r="O49" s="98">
        <f>E29</f>
        <v>70</v>
      </c>
      <c r="P49" s="98">
        <f>E30</f>
        <v>90</v>
      </c>
    </row>
    <row r="50" spans="1:16" s="94" customFormat="1" ht="56.25" hidden="1">
      <c r="A50" s="99" t="s">
        <v>72</v>
      </c>
      <c r="B50" s="100">
        <f>calculator_eurbrv!$C$14</f>
        <v>25</v>
      </c>
      <c r="C50" s="100">
        <f t="shared" si="0"/>
        <v>20</v>
      </c>
      <c r="D50" s="100">
        <f>C50-5</f>
        <v>15</v>
      </c>
      <c r="E50" s="100">
        <f t="shared" si="2"/>
        <v>5</v>
      </c>
      <c r="F50" s="100">
        <f>IF(D50&lt;=0,C50*E32,0)</f>
        <v>0</v>
      </c>
      <c r="G50" s="100">
        <f>IF(D50&gt;=1,D50*E33+M50,0)</f>
        <v>2100</v>
      </c>
      <c r="H50" s="100">
        <f t="shared" si="3"/>
        <v>2100</v>
      </c>
      <c r="I50" s="96">
        <v>5</v>
      </c>
      <c r="J50" s="97">
        <f>calculator_eurbrv!$B$12+database_eurbrv!I50-1</f>
        <v>44566</v>
      </c>
      <c r="K50" s="97">
        <f>IF(E50=0,database_eurbrv!J50+database_eurbrv!C50,database_eurbrv!J50+database_eurbrv!E50)</f>
        <v>44571</v>
      </c>
      <c r="L50" s="96">
        <f t="shared" si="4"/>
        <v>375</v>
      </c>
      <c r="M50" s="96">
        <f>E32*5</f>
        <v>375</v>
      </c>
      <c r="N50" s="96">
        <f t="shared" si="5"/>
        <v>1725</v>
      </c>
      <c r="O50" s="98">
        <f>E32</f>
        <v>75</v>
      </c>
      <c r="P50" s="98">
        <f>E33</f>
        <v>115</v>
      </c>
    </row>
    <row r="51" spans="1:16" s="94" customFormat="1" ht="56.25" hidden="1">
      <c r="A51" s="99" t="s">
        <v>73</v>
      </c>
      <c r="B51" s="100">
        <f>calculator_eurbrv!$C$14</f>
        <v>25</v>
      </c>
      <c r="C51" s="100">
        <f t="shared" si="0"/>
        <v>15</v>
      </c>
      <c r="D51" s="101"/>
      <c r="E51" s="100">
        <f t="shared" si="2"/>
        <v>15</v>
      </c>
      <c r="F51" s="100">
        <f>IF(D51&lt;=0,C51*E35,0)</f>
        <v>600</v>
      </c>
      <c r="G51" s="101"/>
      <c r="H51" s="100">
        <f t="shared" si="3"/>
        <v>600</v>
      </c>
      <c r="I51" s="96">
        <v>10</v>
      </c>
      <c r="J51" s="97">
        <f>calculator_eurbrv!$B$12+database_eurbrv!I51-1</f>
        <v>44571</v>
      </c>
      <c r="K51" s="97">
        <f>IF(E51=0,database_eurbrv!J51+database_eurbrv!C51,database_eurbrv!J51+database_eurbrv!E51)</f>
        <v>44586</v>
      </c>
      <c r="L51" s="96">
        <f>H51</f>
        <v>600</v>
      </c>
      <c r="M51" s="96"/>
      <c r="N51" s="102"/>
      <c r="O51" s="98">
        <f>E35</f>
        <v>40</v>
      </c>
      <c r="P51" s="102"/>
    </row>
    <row r="52" spans="1:16" s="94" customFormat="1" ht="56.25" hidden="1">
      <c r="A52" s="99" t="s">
        <v>74</v>
      </c>
      <c r="B52" s="100">
        <f>calculator_eurbrv!$C$14</f>
        <v>25</v>
      </c>
      <c r="C52" s="100">
        <f t="shared" si="0"/>
        <v>15</v>
      </c>
      <c r="D52" s="101"/>
      <c r="E52" s="100">
        <f t="shared" si="2"/>
        <v>15</v>
      </c>
      <c r="F52" s="100">
        <f>IF(D52&lt;=0,C52*E37,0)</f>
        <v>1050</v>
      </c>
      <c r="G52" s="101"/>
      <c r="H52" s="100">
        <f t="shared" si="3"/>
        <v>1050</v>
      </c>
      <c r="I52" s="96">
        <v>10</v>
      </c>
      <c r="J52" s="97">
        <f>calculator_eurbrv!$B$12+database_eurbrv!I52-1</f>
        <v>44571</v>
      </c>
      <c r="K52" s="97">
        <f>IF(E52=0,database_eurbrv!J52+database_eurbrv!C52,database_eurbrv!J52+database_eurbrv!E52)</f>
        <v>44586</v>
      </c>
      <c r="L52" s="96">
        <f>H52</f>
        <v>1050</v>
      </c>
      <c r="M52" s="96"/>
      <c r="N52" s="102"/>
      <c r="O52" s="98">
        <f>E37</f>
        <v>70</v>
      </c>
      <c r="P52" s="102"/>
    </row>
    <row r="54" ht="12.75">
      <c r="B54" s="64"/>
    </row>
    <row r="55" ht="12.75">
      <c r="A55" s="139" t="s">
        <v>93</v>
      </c>
    </row>
    <row r="56" spans="1:16" ht="12.75">
      <c r="A56" s="23" t="s">
        <v>118</v>
      </c>
      <c r="B56" s="134">
        <f>calculator_eurbrv!$C$13</f>
        <v>11</v>
      </c>
      <c r="C56" s="134">
        <f aca="true" t="shared" si="6" ref="C56:C67">B56-I56</f>
        <v>5</v>
      </c>
      <c r="D56" s="133">
        <f>C56-8</f>
        <v>-3</v>
      </c>
      <c r="E56" s="134">
        <f aca="true" t="shared" si="7" ref="E56:E67">IF(D56&gt;=0,C56-D56,0)</f>
        <v>0</v>
      </c>
      <c r="F56" s="134">
        <f aca="true" t="shared" si="8" ref="F56:F67">IF(D56&lt;=0,C56*O56,0)</f>
        <v>187.5</v>
      </c>
      <c r="G56" s="134">
        <f aca="true" t="shared" si="9" ref="G56:G67">IF(D56&gt;=1,D56*P56+M56,0)</f>
        <v>0</v>
      </c>
      <c r="H56" s="134">
        <f aca="true" t="shared" si="10" ref="H56:H67">F56+G56</f>
        <v>187.5</v>
      </c>
      <c r="I56" s="133">
        <v>6</v>
      </c>
      <c r="J56" s="141">
        <f>calculator_eurbrv!$B$13+database_eurbrv!I56-1</f>
        <v>44581</v>
      </c>
      <c r="K56" s="137">
        <f>IF(E56=0,database_eurbrv!J56+database_eurbrv!C56,database_eurbrv!J56+database_eurbrv!E56)</f>
        <v>44586</v>
      </c>
      <c r="L56" s="134">
        <f aca="true" t="shared" si="11" ref="L56:L67">IF(F56=0,M56,F56)</f>
        <v>187.5</v>
      </c>
      <c r="M56" s="134">
        <f>O56*5</f>
        <v>187.5</v>
      </c>
      <c r="N56" s="134">
        <f aca="true" t="shared" si="12" ref="N56:N67">IF(G56=0,G56,G56-M56)</f>
        <v>0</v>
      </c>
      <c r="O56" s="134">
        <f>$J$12</f>
        <v>37.5</v>
      </c>
      <c r="P56" s="134">
        <f>$J$13</f>
        <v>75</v>
      </c>
    </row>
    <row r="57" spans="1:16" ht="12.75">
      <c r="A57" s="23" t="s">
        <v>124</v>
      </c>
      <c r="B57" s="134">
        <f>calculator_eurbrv!$C$13</f>
        <v>11</v>
      </c>
      <c r="C57" s="134">
        <f t="shared" si="6"/>
        <v>9</v>
      </c>
      <c r="D57" s="133">
        <f aca="true" t="shared" si="13" ref="D57:D67">C57-8</f>
        <v>1</v>
      </c>
      <c r="E57" s="134">
        <f t="shared" si="7"/>
        <v>8</v>
      </c>
      <c r="F57" s="134">
        <f t="shared" si="8"/>
        <v>0</v>
      </c>
      <c r="G57" s="134">
        <f t="shared" si="9"/>
        <v>450</v>
      </c>
      <c r="H57" s="134">
        <f t="shared" si="10"/>
        <v>450</v>
      </c>
      <c r="I57" s="133">
        <v>2</v>
      </c>
      <c r="J57" s="141">
        <f>calculator_eurbrv!$B$13+database_eurbrv!I57-1</f>
        <v>44577</v>
      </c>
      <c r="K57" s="137">
        <f>IF(E57=0,database_eurbrv!J57+database_eurbrv!C57,database_eurbrv!J57+database_eurbrv!E57)</f>
        <v>44585</v>
      </c>
      <c r="L57" s="134">
        <f t="shared" si="11"/>
        <v>300</v>
      </c>
      <c r="M57" s="134">
        <f>O57*4</f>
        <v>300</v>
      </c>
      <c r="N57" s="134">
        <f t="shared" si="12"/>
        <v>150</v>
      </c>
      <c r="O57" s="134">
        <f>$J$16</f>
        <v>75</v>
      </c>
      <c r="P57" s="134">
        <f>$J$17</f>
        <v>150</v>
      </c>
    </row>
    <row r="58" spans="1:16" ht="12.75">
      <c r="A58" s="23" t="s">
        <v>119</v>
      </c>
      <c r="B58" s="134">
        <f>calculator_eurbrv!$C$13</f>
        <v>11</v>
      </c>
      <c r="C58" s="134">
        <f t="shared" si="6"/>
        <v>5</v>
      </c>
      <c r="D58" s="133">
        <f t="shared" si="13"/>
        <v>-3</v>
      </c>
      <c r="E58" s="134">
        <f t="shared" si="7"/>
        <v>0</v>
      </c>
      <c r="F58" s="134">
        <f t="shared" si="8"/>
        <v>375</v>
      </c>
      <c r="G58" s="134">
        <f t="shared" si="9"/>
        <v>0</v>
      </c>
      <c r="H58" s="134">
        <f t="shared" si="10"/>
        <v>375</v>
      </c>
      <c r="I58" s="133">
        <v>6</v>
      </c>
      <c r="J58" s="141">
        <f>calculator_eurbrv!$B$13+database_eurbrv!I58-1</f>
        <v>44581</v>
      </c>
      <c r="K58" s="137">
        <f>IF(E58=0,database_eurbrv!J58+database_eurbrv!C58,database_eurbrv!J58+database_eurbrv!E58)</f>
        <v>44586</v>
      </c>
      <c r="L58" s="134">
        <f t="shared" si="11"/>
        <v>375</v>
      </c>
      <c r="M58" s="134">
        <f aca="true" t="shared" si="14" ref="M58:M66">O58*5</f>
        <v>375</v>
      </c>
      <c r="N58" s="134">
        <f t="shared" si="12"/>
        <v>0</v>
      </c>
      <c r="O58" s="134">
        <f>$J$14</f>
        <v>75</v>
      </c>
      <c r="P58" s="134">
        <f>$J$15</f>
        <v>150</v>
      </c>
    </row>
    <row r="59" spans="1:16" ht="12.75">
      <c r="A59" s="23" t="s">
        <v>125</v>
      </c>
      <c r="B59" s="134">
        <f>calculator_eurbrv!$C$13</f>
        <v>11</v>
      </c>
      <c r="C59" s="134">
        <f t="shared" si="6"/>
        <v>9</v>
      </c>
      <c r="D59" s="133">
        <f t="shared" si="13"/>
        <v>1</v>
      </c>
      <c r="E59" s="134">
        <f t="shared" si="7"/>
        <v>8</v>
      </c>
      <c r="F59" s="134">
        <f t="shared" si="8"/>
        <v>0</v>
      </c>
      <c r="G59" s="134">
        <f t="shared" si="9"/>
        <v>900</v>
      </c>
      <c r="H59" s="134">
        <f t="shared" si="10"/>
        <v>900</v>
      </c>
      <c r="I59" s="133">
        <v>2</v>
      </c>
      <c r="J59" s="141">
        <f>calculator_eurbrv!$B$13+database_eurbrv!I59-1</f>
        <v>44577</v>
      </c>
      <c r="K59" s="137">
        <f>IF(E59=0,database_eurbrv!J59+database_eurbrv!C59,database_eurbrv!J59+database_eurbrv!E59)</f>
        <v>44585</v>
      </c>
      <c r="L59" s="134">
        <f t="shared" si="11"/>
        <v>600</v>
      </c>
      <c r="M59" s="134">
        <f>O59*4</f>
        <v>600</v>
      </c>
      <c r="N59" s="134">
        <f t="shared" si="12"/>
        <v>300</v>
      </c>
      <c r="O59" s="134">
        <f>$J$18</f>
        <v>150</v>
      </c>
      <c r="P59" s="134">
        <f>$J$19</f>
        <v>300</v>
      </c>
    </row>
    <row r="60" spans="1:16" s="108" customFormat="1" ht="12.75">
      <c r="A60" s="23" t="s">
        <v>120</v>
      </c>
      <c r="B60" s="143">
        <f>calculator_eurbrv!$C$13</f>
        <v>11</v>
      </c>
      <c r="C60" s="143">
        <f t="shared" si="6"/>
        <v>7</v>
      </c>
      <c r="D60" s="140">
        <f t="shared" si="13"/>
        <v>-1</v>
      </c>
      <c r="E60" s="143">
        <f t="shared" si="7"/>
        <v>0</v>
      </c>
      <c r="F60" s="143">
        <f t="shared" si="8"/>
        <v>393.75</v>
      </c>
      <c r="G60" s="143">
        <f t="shared" si="9"/>
        <v>0</v>
      </c>
      <c r="H60" s="143">
        <f t="shared" si="10"/>
        <v>393.75</v>
      </c>
      <c r="I60" s="140">
        <v>4</v>
      </c>
      <c r="J60" s="144">
        <f>calculator_eurbrv!$B$13+database_eurbrv!I60-1</f>
        <v>44579</v>
      </c>
      <c r="K60" s="145">
        <f>IF(E60=0,database_eurbrv!J60+database_eurbrv!C60,database_eurbrv!J60+database_eurbrv!E60)</f>
        <v>44586</v>
      </c>
      <c r="L60" s="143">
        <f t="shared" si="11"/>
        <v>393.75</v>
      </c>
      <c r="M60" s="143">
        <f t="shared" si="14"/>
        <v>281.25</v>
      </c>
      <c r="N60" s="143">
        <f t="shared" si="12"/>
        <v>0</v>
      </c>
      <c r="O60" s="143">
        <f>$J$24</f>
        <v>56.25</v>
      </c>
      <c r="P60" s="143">
        <f>$J$25</f>
        <v>112.5</v>
      </c>
    </row>
    <row r="61" spans="1:16" s="108" customFormat="1" ht="12.75">
      <c r="A61" s="23" t="s">
        <v>126</v>
      </c>
      <c r="B61" s="143">
        <f>calculator_eurbrv!$C$13</f>
        <v>11</v>
      </c>
      <c r="C61" s="143">
        <f t="shared" si="6"/>
        <v>9</v>
      </c>
      <c r="D61" s="140">
        <f t="shared" si="13"/>
        <v>1</v>
      </c>
      <c r="E61" s="143">
        <f t="shared" si="7"/>
        <v>8</v>
      </c>
      <c r="F61" s="143">
        <f t="shared" si="8"/>
        <v>0</v>
      </c>
      <c r="G61" s="143">
        <f t="shared" si="9"/>
        <v>450</v>
      </c>
      <c r="H61" s="143">
        <f t="shared" si="10"/>
        <v>450</v>
      </c>
      <c r="I61" s="140">
        <v>2</v>
      </c>
      <c r="J61" s="144">
        <f>calculator_eurbrv!$B$13+database_eurbrv!I61-1</f>
        <v>44577</v>
      </c>
      <c r="K61" s="145">
        <f>IF(E61=0,database_eurbrv!J61+database_eurbrv!C61,database_eurbrv!J61+database_eurbrv!E61)</f>
        <v>44585</v>
      </c>
      <c r="L61" s="143">
        <f t="shared" si="11"/>
        <v>300</v>
      </c>
      <c r="M61" s="143">
        <f>O61*4</f>
        <v>300</v>
      </c>
      <c r="N61" s="143">
        <f t="shared" si="12"/>
        <v>150</v>
      </c>
      <c r="O61" s="143">
        <f>$J$16</f>
        <v>75</v>
      </c>
      <c r="P61" s="143">
        <f>$J$17</f>
        <v>150</v>
      </c>
    </row>
    <row r="62" spans="1:16" s="108" customFormat="1" ht="12.75">
      <c r="A62" s="23" t="s">
        <v>121</v>
      </c>
      <c r="B62" s="143">
        <f>calculator_eurbrv!$C$13</f>
        <v>11</v>
      </c>
      <c r="C62" s="143">
        <f t="shared" si="6"/>
        <v>7</v>
      </c>
      <c r="D62" s="140">
        <f t="shared" si="13"/>
        <v>-1</v>
      </c>
      <c r="E62" s="143">
        <f t="shared" si="7"/>
        <v>0</v>
      </c>
      <c r="F62" s="143">
        <f t="shared" si="8"/>
        <v>787.5</v>
      </c>
      <c r="G62" s="143">
        <f t="shared" si="9"/>
        <v>0</v>
      </c>
      <c r="H62" s="143">
        <f t="shared" si="10"/>
        <v>787.5</v>
      </c>
      <c r="I62" s="140">
        <v>4</v>
      </c>
      <c r="J62" s="144">
        <f>calculator_eurbrv!$B$13+database_eurbrv!I62-1</f>
        <v>44579</v>
      </c>
      <c r="K62" s="145">
        <f>IF(E62=0,database_eurbrv!J62+database_eurbrv!C62,database_eurbrv!J62+database_eurbrv!E62)</f>
        <v>44586</v>
      </c>
      <c r="L62" s="143">
        <f t="shared" si="11"/>
        <v>787.5</v>
      </c>
      <c r="M62" s="143">
        <f t="shared" si="14"/>
        <v>562.5</v>
      </c>
      <c r="N62" s="143">
        <f t="shared" si="12"/>
        <v>0</v>
      </c>
      <c r="O62" s="143">
        <f>$J$26</f>
        <v>112.5</v>
      </c>
      <c r="P62" s="143">
        <f>$J$27</f>
        <v>225</v>
      </c>
    </row>
    <row r="63" spans="1:16" s="108" customFormat="1" ht="12.75">
      <c r="A63" s="23" t="s">
        <v>127</v>
      </c>
      <c r="B63" s="143">
        <f>calculator_eurbrv!$C$13</f>
        <v>11</v>
      </c>
      <c r="C63" s="143">
        <f t="shared" si="6"/>
        <v>9</v>
      </c>
      <c r="D63" s="140">
        <f t="shared" si="13"/>
        <v>1</v>
      </c>
      <c r="E63" s="143">
        <f t="shared" si="7"/>
        <v>8</v>
      </c>
      <c r="F63" s="143">
        <f t="shared" si="8"/>
        <v>0</v>
      </c>
      <c r="G63" s="143">
        <f t="shared" si="9"/>
        <v>900</v>
      </c>
      <c r="H63" s="143">
        <f t="shared" si="10"/>
        <v>900</v>
      </c>
      <c r="I63" s="140">
        <v>2</v>
      </c>
      <c r="J63" s="144">
        <f>calculator_eurbrv!$B$13+database_eurbrv!I63-1</f>
        <v>44577</v>
      </c>
      <c r="K63" s="145">
        <f>IF(E63=0,database_eurbrv!J63+database_eurbrv!C63,database_eurbrv!J63+database_eurbrv!E63)</f>
        <v>44585</v>
      </c>
      <c r="L63" s="143">
        <f t="shared" si="11"/>
        <v>600</v>
      </c>
      <c r="M63" s="143">
        <f>O63*4</f>
        <v>600</v>
      </c>
      <c r="N63" s="143">
        <f t="shared" si="12"/>
        <v>300</v>
      </c>
      <c r="O63" s="143">
        <f>$J$18</f>
        <v>150</v>
      </c>
      <c r="P63" s="143">
        <f>$J$19</f>
        <v>300</v>
      </c>
    </row>
    <row r="64" spans="1:16" ht="12.75">
      <c r="A64" s="23" t="s">
        <v>122</v>
      </c>
      <c r="B64" s="134">
        <f>calculator_eurbrv!$C$13</f>
        <v>11</v>
      </c>
      <c r="C64" s="134">
        <f t="shared" si="6"/>
        <v>7</v>
      </c>
      <c r="D64" s="133">
        <f t="shared" si="13"/>
        <v>-1</v>
      </c>
      <c r="E64" s="134">
        <f t="shared" si="7"/>
        <v>0</v>
      </c>
      <c r="F64" s="134">
        <f t="shared" si="8"/>
        <v>525</v>
      </c>
      <c r="G64" s="134">
        <f t="shared" si="9"/>
        <v>0</v>
      </c>
      <c r="H64" s="134">
        <f t="shared" si="10"/>
        <v>525</v>
      </c>
      <c r="I64" s="133">
        <v>4</v>
      </c>
      <c r="J64" s="141">
        <f>calculator_eurbrv!$B$13+database_eurbrv!I64-1</f>
        <v>44579</v>
      </c>
      <c r="K64" s="137">
        <f>IF(E64=0,database_eurbrv!J64+database_eurbrv!C64,database_eurbrv!J64+database_eurbrv!E64)</f>
        <v>44586</v>
      </c>
      <c r="L64" s="134">
        <f t="shared" si="11"/>
        <v>525</v>
      </c>
      <c r="M64" s="134">
        <f t="shared" si="14"/>
        <v>375</v>
      </c>
      <c r="N64" s="134">
        <f t="shared" si="12"/>
        <v>0</v>
      </c>
      <c r="O64" s="134">
        <f>$J$20</f>
        <v>75</v>
      </c>
      <c r="P64" s="134">
        <f>$J$21</f>
        <v>150</v>
      </c>
    </row>
    <row r="65" spans="1:16" ht="12.75">
      <c r="A65" s="23" t="s">
        <v>128</v>
      </c>
      <c r="B65" s="134">
        <f>calculator_eurbrv!$C$13</f>
        <v>11</v>
      </c>
      <c r="C65" s="134">
        <f t="shared" si="6"/>
        <v>9</v>
      </c>
      <c r="D65" s="133">
        <f t="shared" si="13"/>
        <v>1</v>
      </c>
      <c r="E65" s="134">
        <f t="shared" si="7"/>
        <v>8</v>
      </c>
      <c r="F65" s="134">
        <f t="shared" si="8"/>
        <v>0</v>
      </c>
      <c r="G65" s="134">
        <f t="shared" si="9"/>
        <v>450</v>
      </c>
      <c r="H65" s="134">
        <f t="shared" si="10"/>
        <v>450</v>
      </c>
      <c r="I65" s="133">
        <v>2</v>
      </c>
      <c r="J65" s="141">
        <f>calculator_eurbrv!$B$13+database_eurbrv!I65-1</f>
        <v>44577</v>
      </c>
      <c r="K65" s="137">
        <f>IF(E65=0,database_eurbrv!J65+database_eurbrv!C65,database_eurbrv!J65+database_eurbrv!E65)</f>
        <v>44585</v>
      </c>
      <c r="L65" s="134">
        <f t="shared" si="11"/>
        <v>300</v>
      </c>
      <c r="M65" s="134">
        <f>O65*4</f>
        <v>300</v>
      </c>
      <c r="N65" s="134">
        <f t="shared" si="12"/>
        <v>150</v>
      </c>
      <c r="O65" s="134">
        <f>$J$16</f>
        <v>75</v>
      </c>
      <c r="P65" s="134">
        <f>$J$17</f>
        <v>150</v>
      </c>
    </row>
    <row r="66" spans="1:16" ht="12.75">
      <c r="A66" s="23" t="s">
        <v>123</v>
      </c>
      <c r="B66" s="134">
        <f>calculator_eurbrv!$C$13</f>
        <v>11</v>
      </c>
      <c r="C66" s="134">
        <f t="shared" si="6"/>
        <v>7</v>
      </c>
      <c r="D66" s="133">
        <f t="shared" si="13"/>
        <v>-1</v>
      </c>
      <c r="E66" s="134">
        <f t="shared" si="7"/>
        <v>0</v>
      </c>
      <c r="F66" s="134">
        <f t="shared" si="8"/>
        <v>1050</v>
      </c>
      <c r="G66" s="134">
        <f t="shared" si="9"/>
        <v>0</v>
      </c>
      <c r="H66" s="134">
        <f t="shared" si="10"/>
        <v>1050</v>
      </c>
      <c r="I66" s="133">
        <v>4</v>
      </c>
      <c r="J66" s="141">
        <f>calculator_eurbrv!$B$13+database_eurbrv!I66-1</f>
        <v>44579</v>
      </c>
      <c r="K66" s="137">
        <f>IF(E66=0,database_eurbrv!J66+database_eurbrv!C66,database_eurbrv!J66+database_eurbrv!E66)</f>
        <v>44586</v>
      </c>
      <c r="L66" s="134">
        <f t="shared" si="11"/>
        <v>1050</v>
      </c>
      <c r="M66" s="134">
        <f t="shared" si="14"/>
        <v>750</v>
      </c>
      <c r="N66" s="134">
        <f t="shared" si="12"/>
        <v>0</v>
      </c>
      <c r="O66" s="134">
        <f>$J$22</f>
        <v>150</v>
      </c>
      <c r="P66" s="134">
        <f>$J23</f>
        <v>300</v>
      </c>
    </row>
    <row r="67" spans="1:16" ht="12.75">
      <c r="A67" s="23" t="s">
        <v>129</v>
      </c>
      <c r="B67" s="134">
        <f>calculator_eurbrv!$C$13</f>
        <v>11</v>
      </c>
      <c r="C67" s="134">
        <f t="shared" si="6"/>
        <v>9</v>
      </c>
      <c r="D67" s="133">
        <f t="shared" si="13"/>
        <v>1</v>
      </c>
      <c r="E67" s="134">
        <f t="shared" si="7"/>
        <v>8</v>
      </c>
      <c r="F67" s="134">
        <f t="shared" si="8"/>
        <v>0</v>
      </c>
      <c r="G67" s="134">
        <f t="shared" si="9"/>
        <v>900</v>
      </c>
      <c r="H67" s="134">
        <f t="shared" si="10"/>
        <v>900</v>
      </c>
      <c r="I67" s="133">
        <v>2</v>
      </c>
      <c r="J67" s="141">
        <f>calculator_eurbrv!$B$13+database_eurbrv!I67-1</f>
        <v>44577</v>
      </c>
      <c r="K67" s="137">
        <f>IF(E67=0,database_eurbrv!J67+database_eurbrv!C67,database_eurbrv!J67+database_eurbrv!E67)</f>
        <v>44585</v>
      </c>
      <c r="L67" s="134">
        <f t="shared" si="11"/>
        <v>600</v>
      </c>
      <c r="M67" s="134">
        <f>O67*4</f>
        <v>600</v>
      </c>
      <c r="N67" s="134">
        <f t="shared" si="12"/>
        <v>300</v>
      </c>
      <c r="O67" s="134">
        <f>$J$18</f>
        <v>150</v>
      </c>
      <c r="P67" s="134">
        <f>$J$19</f>
        <v>300</v>
      </c>
    </row>
    <row r="70" ht="12.75">
      <c r="A70" s="139" t="s">
        <v>107</v>
      </c>
    </row>
    <row r="71" spans="1:12" ht="12.75">
      <c r="A71" s="130" t="s">
        <v>108</v>
      </c>
      <c r="B71" s="134">
        <f>calculator_eurbrv!$C$14</f>
        <v>25</v>
      </c>
      <c r="C71" s="134">
        <f>B71-I71</f>
        <v>23</v>
      </c>
      <c r="I71" s="130">
        <v>2</v>
      </c>
      <c r="J71" s="137">
        <f>calculator_eurbrv!$B$12+database_eurbrv!I71</f>
        <v>44564</v>
      </c>
      <c r="K71" s="137">
        <f>IF(E71=0,database_eurbrv!J71+database_eurbrv!C71,database_eurbrv!J71+database_eurbrv!E71)</f>
        <v>44587</v>
      </c>
      <c r="L71" s="134">
        <f>IF(F71=0,M71,F71)</f>
        <v>0</v>
      </c>
    </row>
  </sheetData>
  <sheetProtection selectLockedCells="1"/>
  <mergeCells count="6">
    <mergeCell ref="A2:G2"/>
    <mergeCell ref="H12:H15"/>
    <mergeCell ref="H16:H19"/>
    <mergeCell ref="H20:H23"/>
    <mergeCell ref="A21:G21"/>
    <mergeCell ref="H24:H27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 Silva, Caio</dc:creator>
  <cp:keywords/>
  <dc:description/>
  <cp:lastModifiedBy>Jack Yoshida</cp:lastModifiedBy>
  <cp:lastPrinted>2014-02-12T15:06:08Z</cp:lastPrinted>
  <dcterms:created xsi:type="dcterms:W3CDTF">2013-08-23T07:34:55Z</dcterms:created>
  <dcterms:modified xsi:type="dcterms:W3CDTF">2022-04-19T14:09:39Z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2021-06-29T09:58:36Z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842e622b-48df-45d7-a2d7-69424925aec9</vt:lpwstr>
  </property>
  <property fmtid="{D5CDD505-2E9C-101B-9397-08002B2CF9AE}" pid="8" name="MSIP_Label_71bba39d-4745-4e9d-97db-0c1927b54242_ContentBits">
    <vt:lpwstr>2</vt:lpwstr>
  </property>
</Properties>
</file>